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0D96AB15-DD3B-4D05-9039-30E15CC7E0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чёт аэрации (Зенит. фонарь)" sheetId="3" r:id="rId1"/>
    <sheet name="Расчёт аэрации (Без зенит. фон)" sheetId="4" r:id="rId2"/>
    <sheet name="Расчёт аэрации (Зима)" sheetId="8" r:id="rId3"/>
    <sheet name="Расчёт аэрации (штиль 1)" sheetId="5" r:id="rId4"/>
    <sheet name="Расчёт аэрации (штиль 2)" sheetId="6" r:id="rId5"/>
    <sheet name="Расчёт по АЗ-901" sheetId="9" r:id="rId6"/>
  </sheets>
  <definedNames>
    <definedName name="Print_Area" localSheetId="1">'Расчёт аэрации (Без зенит. фон)'!$A$1:$L$121</definedName>
    <definedName name="Print_Area" localSheetId="0">'Расчёт аэрации (Зенит. фонарь)'!$A$1:$L$121</definedName>
    <definedName name="Print_Area" localSheetId="2">'Расчёт аэрации (Зима)'!$A$1:$L$121</definedName>
    <definedName name="Print_Area" localSheetId="3">'Расчёт аэрации (штиль 1)'!$A$1:$L$81</definedName>
    <definedName name="Print_Area" localSheetId="4">'Расчёт аэрации (штиль 2)'!$A$1:$L$85</definedName>
    <definedName name="_xlnm.Print_Area" localSheetId="1">'Расчёт аэрации (Без зенит. фон)'!$A$1:$L$122</definedName>
    <definedName name="_xlnm.Print_Area" localSheetId="0">'Расчёт аэрации (Зенит. фонарь)'!$A$1:$L$122</definedName>
    <definedName name="_xlnm.Print_Area" localSheetId="2">'Расчёт аэрации (Зима)'!$A$1:$L$122</definedName>
    <definedName name="_xlnm.Print_Area" localSheetId="3">'Расчёт аэрации (штиль 1)'!$A$1:$L$82</definedName>
    <definedName name="_xlnm.Print_Area" localSheetId="4">'Расчёт аэрации (штиль 2)'!$A$1:$L$91</definedName>
    <definedName name="_xlnm.Print_Area" localSheetId="5">'Расчёт по АЗ-901'!$A$1:$I$70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9" l="1"/>
  <c r="B9" i="8" l="1"/>
  <c r="B9" i="5"/>
  <c r="B10" i="9"/>
  <c r="C47" i="9"/>
  <c r="D38" i="9"/>
  <c r="E44" i="9" s="1"/>
  <c r="D56" i="9" l="1"/>
  <c r="E70" i="8"/>
  <c r="B25" i="8"/>
  <c r="B24" i="8"/>
  <c r="B12" i="8"/>
  <c r="B16" i="8" s="1"/>
  <c r="B14" i="8"/>
  <c r="B18" i="8" s="1"/>
  <c r="D84" i="8" l="1"/>
  <c r="D78" i="8"/>
  <c r="D60" i="9"/>
  <c r="B64" i="9" s="1"/>
  <c r="D68" i="9"/>
  <c r="E73" i="8"/>
  <c r="I73" i="8" s="1"/>
  <c r="B13" i="8"/>
  <c r="B17" i="8" s="1"/>
  <c r="H35" i="8" s="1"/>
  <c r="B10" i="8"/>
  <c r="F35" i="8" s="1"/>
  <c r="B15" i="8"/>
  <c r="B19" i="8" s="1"/>
  <c r="D88" i="8"/>
  <c r="D90" i="8"/>
  <c r="D92" i="8"/>
  <c r="D94" i="8"/>
  <c r="D31" i="8"/>
  <c r="E39" i="8"/>
  <c r="C61" i="6"/>
  <c r="C59" i="6"/>
  <c r="B25" i="6"/>
  <c r="B24" i="6"/>
  <c r="B12" i="6"/>
  <c r="B10" i="6" s="1"/>
  <c r="E53" i="6"/>
  <c r="B14" i="6"/>
  <c r="B18" i="6" s="1"/>
  <c r="B25" i="5"/>
  <c r="B24" i="5"/>
  <c r="B12" i="5"/>
  <c r="B10" i="5" s="1"/>
  <c r="E53" i="5"/>
  <c r="B14" i="5"/>
  <c r="B18" i="5" s="1"/>
  <c r="D104" i="8" l="1"/>
  <c r="D80" i="8"/>
  <c r="D100" i="8" s="1"/>
  <c r="D82" i="8"/>
  <c r="D102" i="8" s="1"/>
  <c r="G39" i="8"/>
  <c r="F31" i="8"/>
  <c r="D35" i="8"/>
  <c r="I70" i="8"/>
  <c r="G110" i="8"/>
  <c r="D98" i="8"/>
  <c r="I53" i="6"/>
  <c r="I53" i="5"/>
  <c r="F35" i="6"/>
  <c r="D31" i="6"/>
  <c r="B13" i="6"/>
  <c r="B17" i="6" s="1"/>
  <c r="B15" i="6"/>
  <c r="B19" i="6" s="1"/>
  <c r="E50" i="6"/>
  <c r="B16" i="6"/>
  <c r="B16" i="5"/>
  <c r="D31" i="5"/>
  <c r="F35" i="5"/>
  <c r="B13" i="5"/>
  <c r="B17" i="5" s="1"/>
  <c r="B15" i="5"/>
  <c r="B19" i="5" s="1"/>
  <c r="E50" i="5"/>
  <c r="B25" i="4"/>
  <c r="B24" i="4"/>
  <c r="B12" i="4"/>
  <c r="B10" i="4" s="1"/>
  <c r="E39" i="4" s="1"/>
  <c r="B15" i="4"/>
  <c r="B19" i="4" s="1"/>
  <c r="B14" i="4"/>
  <c r="B18" i="4" s="1"/>
  <c r="D67" i="6" l="1"/>
  <c r="H78" i="6" s="1"/>
  <c r="G114" i="8"/>
  <c r="C120" i="8" s="1"/>
  <c r="D92" i="4"/>
  <c r="D88" i="4"/>
  <c r="D94" i="4"/>
  <c r="B16" i="4"/>
  <c r="D65" i="6"/>
  <c r="D69" i="6"/>
  <c r="C82" i="6" s="1"/>
  <c r="D71" i="6"/>
  <c r="D35" i="6"/>
  <c r="F31" i="6"/>
  <c r="H35" i="6"/>
  <c r="I50" i="6"/>
  <c r="E90" i="6" s="1"/>
  <c r="D58" i="5"/>
  <c r="D62" i="5" s="1"/>
  <c r="G73" i="5" s="1"/>
  <c r="H35" i="5"/>
  <c r="I50" i="5"/>
  <c r="D35" i="5"/>
  <c r="F31" i="5"/>
  <c r="F35" i="4"/>
  <c r="D31" i="4"/>
  <c r="D90" i="4"/>
  <c r="B13" i="4"/>
  <c r="B17" i="4" s="1"/>
  <c r="E70" i="4"/>
  <c r="I70" i="4" s="1"/>
  <c r="E73" i="4"/>
  <c r="I73" i="4" s="1"/>
  <c r="B25" i="3"/>
  <c r="B24" i="3"/>
  <c r="D84" i="4" l="1"/>
  <c r="D104" i="4" s="1"/>
  <c r="D82" i="4"/>
  <c r="D102" i="4" s="1"/>
  <c r="D80" i="4"/>
  <c r="D100" i="4" s="1"/>
  <c r="D78" i="4"/>
  <c r="D35" i="4"/>
  <c r="G39" i="4"/>
  <c r="D98" i="4"/>
  <c r="G114" i="4"/>
  <c r="G110" i="4"/>
  <c r="H82" i="6"/>
  <c r="C78" i="6"/>
  <c r="E87" i="6" s="1"/>
  <c r="D66" i="5"/>
  <c r="D68" i="5" s="1"/>
  <c r="D64" i="5"/>
  <c r="G77" i="5" s="1"/>
  <c r="F31" i="4"/>
  <c r="H35" i="4"/>
  <c r="B14" i="3"/>
  <c r="B18" i="3" s="1"/>
  <c r="C120" i="4" l="1"/>
  <c r="E70" i="3"/>
  <c r="E73" i="3"/>
  <c r="B15" i="3"/>
  <c r="B19" i="3" s="1"/>
  <c r="B13" i="3"/>
  <c r="B17" i="3" s="1"/>
  <c r="B12" i="3"/>
  <c r="B10" i="3" s="1"/>
  <c r="I73" i="3" l="1"/>
  <c r="I70" i="3"/>
  <c r="D94" i="3"/>
  <c r="D92" i="3"/>
  <c r="D90" i="3"/>
  <c r="D88" i="3"/>
  <c r="B16" i="3"/>
  <c r="F35" i="3"/>
  <c r="D31" i="3"/>
  <c r="D84" i="3" l="1"/>
  <c r="D104" i="3" s="1"/>
  <c r="G110" i="3" s="1"/>
  <c r="D82" i="3"/>
  <c r="H35" i="3"/>
  <c r="D102" i="3"/>
  <c r="G114" i="3" s="1"/>
  <c r="D80" i="3"/>
  <c r="D100" i="3" s="1"/>
  <c r="D78" i="3"/>
  <c r="D98" i="3" s="1"/>
  <c r="F31" i="3"/>
  <c r="D35" i="3"/>
  <c r="C1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Температура воздуха, °С, обеспе-ченностью 0,95
(это если брать нормативную, но опять-же "Диксон")</t>
        </r>
      </text>
    </comment>
    <comment ref="B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более чем на 5 °С выше средней температуры наружного воздуха в 13 ч самого жаркого месяца, но не более 33 °С.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Взял из метрологии как среднегодовая скорость ветра. ПО СП131 для расчётам по параметрам А для п.Диксон тоже 6 м/с</t>
        </r>
      </text>
    </comment>
    <comment ref="A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применяется, когда динамическое давление ветра меньше половины располагаемого давления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Температура воздуха, °С, обеспе-ченностью 0,95
(это если брать нормативную, но опять-же "Диксон")</t>
        </r>
      </text>
    </comment>
    <comment ref="B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более чем на 5 °С выше средней температуры наружного воздуха в 13 ч самого жаркого месяца, но не более 33 °С.</t>
        </r>
      </text>
    </comment>
    <comment ref="B1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Взял из метрологии как среднегодовая скорость ветра. ПО СП131 для расчётам по параметрам А для п.Диксон тоже 6 м/с</t>
        </r>
      </text>
    </comment>
    <comment ref="A29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применяется, когда динамическое давление ветра меньше половины располагаемого давления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метрологии Обеспеченность 0,92</t>
        </r>
      </text>
    </comment>
    <comment ref="B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более чем на 5 °С выше средней температуры наружного воздуха в 13 ч самого жаркого месяца, но не более 33 °С.</t>
        </r>
      </text>
    </comment>
    <comment ref="B1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Взял из метрологии как среднегодовая скорость ветра. ПО СП131 для расчётам по параметрам А для п.Диксон тоже 6 м/с</t>
        </r>
      </text>
    </comment>
    <comment ref="A29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применяется, когда динамическое давление ветра меньше половины располагаемого давления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Температура воздуха, °С, обеспе-ченностью 0,95
(это если брать нормативную, но опять-же "Диксон")</t>
        </r>
      </text>
    </comment>
    <comment ref="B8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более чем на 5 °С выше средней температуры наружного воздуха в 13 ч самого жаркого месяца, но не более 33 °С.</t>
        </r>
      </text>
    </comment>
    <comment ref="B11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Взял из метрологии как среднегодовая скорость ветра. ПО СП131 для расчётам по параметрам А для п.Диксон тоже 6 м/с</t>
        </r>
      </text>
    </comment>
    <comment ref="A29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применяется, когда динамическое давление ветра меньше половины располагаемого давления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Температура воздуха, °С, обеспе-ченностью 0,95
(это если брать нормативную, но опять-же "Диксон")</t>
        </r>
      </text>
    </comment>
    <comment ref="B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более чем на 5 °С выше средней температуры наружного воздуха в 13 ч самого жаркого месяца, но не более 33 °С.</t>
        </r>
      </text>
    </comment>
    <comment ref="B11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Взял из метрологии как среднегодовая скорость ветра. ПО СП131 для расчётам по параметрам А для п.Диксон тоже 6 м/с</t>
        </r>
      </text>
    </comment>
    <comment ref="A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применяется, когда динамическое давление ветра меньше половины располагаемого давления</t>
        </r>
      </text>
    </comment>
  </commentList>
</comments>
</file>

<file path=xl/sharedStrings.xml><?xml version="1.0" encoding="utf-8"?>
<sst xmlns="http://schemas.openxmlformats.org/spreadsheetml/2006/main" count="337" uniqueCount="85">
  <si>
    <t>Исходные данные:</t>
  </si>
  <si>
    <t>Явные суммарные теплоизбытки в помещении, кВт</t>
  </si>
  <si>
    <t>Выбор методики расчёта аэрационного воздухообмена</t>
  </si>
  <si>
    <t>1. Метод расчета аэрации по избыткам явной теплоты</t>
  </si>
  <si>
    <t>2. Метод расчета при совместном действии теплоизбытков и ветра</t>
  </si>
  <si>
    <t>3. Метод расчета под действием только ветровых нагрузок</t>
  </si>
  <si>
    <t>Скорость ветра для расчёта систем вентиляции (параметры А, СП 131.2018)</t>
  </si>
  <si>
    <t>Cреднее значение динамического давления ветра с наветренной стороны здания, Па</t>
  </si>
  <si>
    <t>Плотность воздуха при температуре tн, кг/м3</t>
  </si>
  <si>
    <t>Удельный вес наружного воздуха, Н/м3</t>
  </si>
  <si>
    <t>&lt;</t>
  </si>
  <si>
    <t>Расчёт аэрации производится при совместном действии ветра и теплоизбытков</t>
  </si>
  <si>
    <t>Определение аэродинамических коэффициентов СП 20.13330.2016 Нагрузки и воздействия</t>
  </si>
  <si>
    <t>Порядок расчёта</t>
  </si>
  <si>
    <t>Температура наружного воздуха в теплый период года (Параметры А), °C</t>
  </si>
  <si>
    <t>Температура воздуха в рабочей зоне в котельном зале, °C</t>
  </si>
  <si>
    <t>Температура отработанного воздуха, °C</t>
  </si>
  <si>
    <t>Плотность воздуха при температуре (tр.з+tух)/2, кг/м3</t>
  </si>
  <si>
    <t>Теплоёмкость воздуха, кДж/кг*K</t>
  </si>
  <si>
    <t>кг/ч</t>
  </si>
  <si>
    <t>Удельный вес внутреннего воздуха (средний между tр.з. и tух.), Н/м3</t>
  </si>
  <si>
    <t>Удельный вес воздуха рабочей зоны, Н/м3</t>
  </si>
  <si>
    <t>Плотность воздуха в рабочей зоне при tр.з. , кг/м3</t>
  </si>
  <si>
    <t>Плотность удаляемого воздуха при tух. , кг/м3</t>
  </si>
  <si>
    <t>Удельный вес удаляемого воздуха, Н/м3</t>
  </si>
  <si>
    <t>Высота от пола до центра фрамуг нижней зоны (для тёплого периода), м</t>
  </si>
  <si>
    <t>Высота от пола до центра фрамуг зенитного фонаря/верхней зоны, м</t>
  </si>
  <si>
    <t>Па</t>
  </si>
  <si>
    <t>2. Определяется внутренне давление в помещении на уровне каждой из фрамуг:</t>
  </si>
  <si>
    <t>3. Определяем ветровое воздействие на уровне каждой из фрамуг:</t>
  </si>
  <si>
    <t>4. Определяем избыточное давление:</t>
  </si>
  <si>
    <t>Массовый расход воздуха на горения для 1 котла, кг/час</t>
  </si>
  <si>
    <t>м3/ч</t>
  </si>
  <si>
    <t>зная количество теплоизбытков, выделяющихся в ед. времени, и задаваясь температурой воздуха,</t>
  </si>
  <si>
    <t xml:space="preserve"> уходящего через отверстие в фонаре.</t>
  </si>
  <si>
    <t xml:space="preserve">5. Определяем требуемую площадь приточных и вытяжных проёмов, задаваясь условиями </t>
  </si>
  <si>
    <t>Коэфф. местного сопротивления вытяжной фрамуги (взял как у ГЕРМИК-ДУ по каталогу ВЕЗА)</t>
  </si>
  <si>
    <t>Коэффициент расхода приточной фрамуги</t>
  </si>
  <si>
    <t>Коэффициент расхода вытяжной фрамуги</t>
  </si>
  <si>
    <t>Коэфф. местного сопротивления приточной фрамуги (взял как у ГЕРМИК-ДУ по каталогу ВЕЗА)</t>
  </si>
  <si>
    <t xml:space="preserve">F1=F4 и F2=F3. Если подкоренные выражения получаются отрицательными, то соответствующие отверстия </t>
  </si>
  <si>
    <t>должны быть закрыты и не приниматься в расчёт.</t>
  </si>
  <si>
    <t>м2</t>
  </si>
  <si>
    <t>Батурин В.В. (выбор температур)</t>
  </si>
  <si>
    <t xml:space="preserve">6. Для обеспечения устойчивой аэрации, эквивалентная площадь приточных отверстий должна превышать эквивалентную </t>
  </si>
  <si>
    <t>площадь вытяжных отверстий на коэфф. а равный 1,2-1,3</t>
  </si>
  <si>
    <t>Высота от центра фрамуг нижней зоны (для тёплого периода) до центра фрамуг зенит.фонаря, м</t>
  </si>
  <si>
    <t>1. Определяем требуемые аэрационные расходы (с учётом массового расхода воздуха на гор-е для работы 4-х котлов),</t>
  </si>
  <si>
    <t>Расчёт аэрации котельного зала</t>
  </si>
  <si>
    <t>Высота от пола до центра фрамуг верхней зоны, м</t>
  </si>
  <si>
    <t>Расчёт аэрации по методу №1, когда</t>
  </si>
  <si>
    <t>Штиль.</t>
  </si>
  <si>
    <t>уровня приточных и вытяжных фрамуг определяется по соотношению:</t>
  </si>
  <si>
    <t>2. Согласно исследованиям Каменева П.Н. положение нулевой зоны от</t>
  </si>
  <si>
    <t>м</t>
  </si>
  <si>
    <t>4. Определяем избыточное давление на уровне фрамуг:</t>
  </si>
  <si>
    <t>2. Определяем значения располагаемого давления</t>
  </si>
  <si>
    <t>5. Определяем требуемую площадь приточных и вытяжных проёмов</t>
  </si>
  <si>
    <t>при прохождении через соответствующие фрамуги. Тогда скорость воздуха при</t>
  </si>
  <si>
    <t>проходе через первые фрамуги определяется по зависимости:</t>
  </si>
  <si>
    <t>5.Считается, что вся энергия приточного и вытяжного воздуха теряется</t>
  </si>
  <si>
    <t>м/с</t>
  </si>
  <si>
    <t>6. Определяем требуемую площадь приточных и вытяжных проёмов</t>
  </si>
  <si>
    <t>&gt;</t>
  </si>
  <si>
    <t>Высота от центра фрамуг средней зоны (для зимнего периода) до центра фрамуг зенит.фонаря, м</t>
  </si>
  <si>
    <t>Высота от пола до центра фрамуг средней зоны (для зимнего периода), м</t>
  </si>
  <si>
    <t>Температура наружного воздуха в холодный период года (Данные из проекта метрологии), °C</t>
  </si>
  <si>
    <t>а) коэффициента полюсного расстояния для всех тепловых струй</t>
  </si>
  <si>
    <t xml:space="preserve">Суммарная площадь проекции верхних граней источников тепла, м2 </t>
  </si>
  <si>
    <t>Площадь пола помещения, м2</t>
  </si>
  <si>
    <t xml:space="preserve">б) расчётное расстояние от полюса каждой тепловой струи до середины вытяжных </t>
  </si>
  <si>
    <t>аэрационных проёмов</t>
  </si>
  <si>
    <t>а=</t>
  </si>
  <si>
    <t>b=</t>
  </si>
  <si>
    <t xml:space="preserve">Конвективный тепловой поток от 1 котла (0,5*Qя) </t>
  </si>
  <si>
    <t xml:space="preserve">в) количество конвективного тепла в струе от каждого источника </t>
  </si>
  <si>
    <t>г) избыточная температура воздуха в каждой тепловой струе на высоте Zр</t>
  </si>
  <si>
    <t>При температуре поверхности источника тепла до 250 град, Вт</t>
  </si>
  <si>
    <t>°C</t>
  </si>
  <si>
    <t>д) расход воздуха в каждой тепловой струе</t>
  </si>
  <si>
    <t>е) Сумарный расход воздуха в тепловых струях</t>
  </si>
  <si>
    <t>4 котла</t>
  </si>
  <si>
    <t>ж) Определение избыточной температуры уходящего воздуха</t>
  </si>
  <si>
    <t>Дельта между Тприт. И Траб. зоны.</t>
  </si>
  <si>
    <t>Расчёт избыточной температуры уходящего воздуха. АЗ-901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</si>
</sst>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8"/>
      <name val="Calibri"/>
      <family val="2"/>
      <scheme val="minor"/>
    </font>
    <font>
      <b/>
      <u/>
      <sz val="11"/>
      <color rgb="FF00B050"/>
      <name val="Calibri"/>
      <family val="2"/>
      <charset val="204"/>
      <scheme val="minor"/>
    </font>
    <font>
      <b/>
      <u/>
      <sz val="12"/>
      <color rgb="FF00B05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192057</xdr:colOff>
      <xdr:row>57</xdr:row>
      <xdr:rowOff>101384</xdr:rowOff>
    </xdr:from>
    <xdr:to>
      <xdr:col>32</xdr:col>
      <xdr:colOff>154935</xdr:colOff>
      <xdr:row>69</xdr:row>
      <xdr:rowOff>178040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4057" y="11150384"/>
          <a:ext cx="3620478" cy="2362656"/>
        </a:xfrm>
        <a:prstGeom prst="rect">
          <a:avLst/>
        </a:prstGeom>
      </xdr:spPr>
    </xdr:pic>
    <xdr:clientData/>
  </xdr:twoCellAnchor>
  <xdr:oneCellAnchor>
    <xdr:from>
      <xdr:col>0</xdr:col>
      <xdr:colOff>123826</xdr:colOff>
      <xdr:row>3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3826" y="9228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𝐻</m:t>
                  </m:r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826" y="9228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38101</xdr:colOff>
      <xdr:row>4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8101" y="9132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изб.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8101" y="9132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𝑄_(</a:t>
              </a:r>
              <a:r>
                <a:rPr lang="ru-RU" sz="1100" b="0" i="0">
                  <a:latin typeface="Cambria Math"/>
                </a:rPr>
                <a:t>изб.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6</xdr:row>
      <xdr:rowOff>160812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95251" y="111331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р.з.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5251" y="111331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р.з.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5</xdr:row>
      <xdr:rowOff>141762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95251" y="9037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н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95251" y="9037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</a:t>
              </a:r>
              <a:r>
                <a:rPr lang="ru-RU" sz="1100" b="0" i="0">
                  <a:latin typeface="Cambria Math"/>
                </a:rPr>
                <a:t>н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117613</xdr:colOff>
      <xdr:row>29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17613" y="359299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17613" y="359299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40586</xdr:colOff>
      <xdr:row>33</xdr:row>
      <xdr:rowOff>152401</xdr:rowOff>
    </xdr:from>
    <xdr:ext cx="1981200" cy="2863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40586" y="4343401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&lt;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д.в.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10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H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∙∆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40586" y="4343401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〗_(д.в.)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9525</xdr:colOff>
      <xdr:row>37</xdr:row>
      <xdr:rowOff>152400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742950" y="415290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&gt;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10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42950" y="415290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&gt;</a:t>
              </a:r>
              <a:r>
                <a:rPr lang="en-US" sz="1200" b="0" i="0">
                  <a:latin typeface="Cambria Math"/>
                  <a:ea typeface="Cambria Math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85725</xdr:colOff>
      <xdr:row>8</xdr:row>
      <xdr:rowOff>152400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5725" y="148590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д.в.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5725" y="148590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18</xdr:col>
      <xdr:colOff>175648</xdr:colOff>
      <xdr:row>32</xdr:row>
      <xdr:rowOff>186148</xdr:rowOff>
    </xdr:from>
    <xdr:to>
      <xdr:col>27</xdr:col>
      <xdr:colOff>308080</xdr:colOff>
      <xdr:row>50</xdr:row>
      <xdr:rowOff>165895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0848" y="6472648"/>
          <a:ext cx="5618832" cy="3419953"/>
        </a:xfrm>
        <a:prstGeom prst="rect">
          <a:avLst/>
        </a:prstGeom>
      </xdr:spPr>
    </xdr:pic>
    <xdr:clientData/>
  </xdr:twoCellAnchor>
  <xdr:oneCellAnchor>
    <xdr:from>
      <xdr:col>0</xdr:col>
      <xdr:colOff>121778</xdr:colOff>
      <xdr:row>9</xdr:row>
      <xdr:rowOff>149963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21778" y="1673963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𝑣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21778" y="1673963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_(в.)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10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13496" y="185618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13496" y="185618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105214</xdr:colOff>
      <xdr:row>11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05214" y="204668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05214" y="204668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95688</xdr:colOff>
      <xdr:row>14</xdr:row>
      <xdr:rowOff>122630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95688" y="240863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95688" y="2408630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105213</xdr:colOff>
      <xdr:row>15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05213" y="2427681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05213" y="2427681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29</xdr:col>
      <xdr:colOff>517294</xdr:colOff>
      <xdr:row>5</xdr:row>
      <xdr:rowOff>29194</xdr:rowOff>
    </xdr:from>
    <xdr:to>
      <xdr:col>42</xdr:col>
      <xdr:colOff>590000</xdr:colOff>
      <xdr:row>25</xdr:row>
      <xdr:rowOff>163665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48094" y="1172194"/>
          <a:ext cx="7997506" cy="3944471"/>
        </a:xfrm>
        <a:prstGeom prst="rect">
          <a:avLst/>
        </a:prstGeom>
      </xdr:spPr>
    </xdr:pic>
    <xdr:clientData/>
  </xdr:twoCellAnchor>
  <xdr:oneCellAnchor>
    <xdr:from>
      <xdr:col>0</xdr:col>
      <xdr:colOff>638736</xdr:colOff>
      <xdr:row>68</xdr:row>
      <xdr:rowOff>55470</xdr:rowOff>
    </xdr:from>
    <xdr:ext cx="1994647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638736" y="13009470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638736" y="13009470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21</xdr:col>
      <xdr:colOff>257051</xdr:colOff>
      <xdr:row>13</xdr:row>
      <xdr:rowOff>35254</xdr:rowOff>
    </xdr:from>
    <xdr:to>
      <xdr:col>24</xdr:col>
      <xdr:colOff>603040</xdr:colOff>
      <xdr:row>28</xdr:row>
      <xdr:rowOff>94756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65480" y="2702254"/>
          <a:ext cx="2182953" cy="2917002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7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114301" y="12942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ух.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14301" y="12942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ух.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twoCellAnchor editAs="oneCell">
    <xdr:from>
      <xdr:col>19</xdr:col>
      <xdr:colOff>174419</xdr:colOff>
      <xdr:row>4</xdr:row>
      <xdr:rowOff>164294</xdr:rowOff>
    </xdr:from>
    <xdr:to>
      <xdr:col>27</xdr:col>
      <xdr:colOff>432954</xdr:colOff>
      <xdr:row>12</xdr:row>
      <xdr:rowOff>45397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46874" y="1116794"/>
          <a:ext cx="5107625" cy="1405103"/>
        </a:xfrm>
        <a:prstGeom prst="rect">
          <a:avLst/>
        </a:prstGeom>
      </xdr:spPr>
    </xdr:pic>
    <xdr:clientData/>
  </xdr:twoCellAnchor>
  <xdr:twoCellAnchor editAs="oneCell">
    <xdr:from>
      <xdr:col>18</xdr:col>
      <xdr:colOff>498444</xdr:colOff>
      <xdr:row>54</xdr:row>
      <xdr:rowOff>126378</xdr:rowOff>
    </xdr:from>
    <xdr:to>
      <xdr:col>25</xdr:col>
      <xdr:colOff>368404</xdr:colOff>
      <xdr:row>72</xdr:row>
      <xdr:rowOff>11492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3644" y="10603878"/>
          <a:ext cx="4137160" cy="3314114"/>
        </a:xfrm>
        <a:prstGeom prst="rect">
          <a:avLst/>
        </a:prstGeom>
      </xdr:spPr>
    </xdr:pic>
    <xdr:clientData/>
  </xdr:twoCellAnchor>
  <xdr:twoCellAnchor editAs="oneCell">
    <xdr:from>
      <xdr:col>2</xdr:col>
      <xdr:colOff>21495</xdr:colOff>
      <xdr:row>43</xdr:row>
      <xdr:rowOff>43567</xdr:rowOff>
    </xdr:from>
    <xdr:to>
      <xdr:col>8</xdr:col>
      <xdr:colOff>313763</xdr:colOff>
      <xdr:row>62</xdr:row>
      <xdr:rowOff>177346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8613" y="8335920"/>
          <a:ext cx="3922974" cy="3753279"/>
        </a:xfrm>
        <a:prstGeom prst="rect">
          <a:avLst/>
        </a:prstGeom>
      </xdr:spPr>
    </xdr:pic>
    <xdr:clientData/>
  </xdr:twoCellAnchor>
  <xdr:oneCellAnchor>
    <xdr:from>
      <xdr:col>0</xdr:col>
      <xdr:colOff>152838</xdr:colOff>
      <xdr:row>18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152838" y="2999181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/>
                        </a:rPr>
                        <m:t>С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52838" y="2999181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</a:rPr>
                <a:t>С_в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86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61925" y="14801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161925" y="14801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  <a:ea typeface="Cambria Math"/>
                </a:rPr>
                <a:t>±𝐶_𝑣1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/>
                  <a:ea typeface="Cambria Math"/>
                </a:rPr>
                <a:t>_(д.в.)=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78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114300" y="12896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14300" y="12896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_вн2=Н_2</a:t>
              </a:r>
              <a:r>
                <a:rPr lang="ru-RU" sz="1200" b="0" i="0">
                  <a:latin typeface="Cambria Math"/>
                  <a:ea typeface="Cambria Math"/>
                </a:rPr>
                <a:t>∙(𝛾_н−𝛾_ух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16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114738" y="2618180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14738" y="2618180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12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113496" y="2237180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13496" y="2237180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13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113496" y="2427680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13496" y="2427680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17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14738" y="3189680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14738" y="3189680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123826</xdr:colOff>
      <xdr:row>2</xdr:row>
      <xdr:rowOff>0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23826" y="51323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1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23826" y="51323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𝐻_</a:t>
              </a:r>
              <a:r>
                <a:rPr lang="ru-RU" sz="1100" b="0" i="0">
                  <a:latin typeface="Cambria Math"/>
                </a:rPr>
                <a:t>1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114301</xdr:colOff>
      <xdr:row>2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114301" y="6465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14301" y="6465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152400</xdr:colOff>
      <xdr:row>88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152400" y="15182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152400" y="15182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2=</a:t>
              </a:r>
              <a:r>
                <a:rPr lang="en-US" sz="1200" b="0" i="0">
                  <a:latin typeface="Cambria Math"/>
                  <a:ea typeface="Cambria Math"/>
                </a:rPr>
                <a:t>±𝐶_𝑣</a:t>
              </a:r>
              <a:r>
                <a:rPr lang="ru-RU" sz="1200" b="0" i="0">
                  <a:latin typeface="Cambria Math"/>
                  <a:ea typeface="Cambria Math"/>
                </a:rPr>
                <a:t>2∙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/>
                  <a:ea typeface="Cambria Math"/>
                </a:rPr>
                <a:t>_(д.в.)=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180975</xdr:colOff>
      <xdr:row>76</xdr:row>
      <xdr:rowOff>114300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80975" y="128778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180975" y="128778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_вн1=Н_1</a:t>
              </a:r>
              <a:r>
                <a:rPr lang="ru-RU" sz="1200" b="0" i="0">
                  <a:latin typeface="Cambria Math"/>
                  <a:ea typeface="Cambria Math"/>
                </a:rPr>
                <a:t>∙(𝛾_н−𝛾_(р.з.)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90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123825" y="15563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23825" y="15563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3=</a:t>
              </a:r>
              <a:r>
                <a:rPr lang="en-US" sz="1200" b="0" i="0">
                  <a:latin typeface="Cambria Math"/>
                  <a:ea typeface="Cambria Math"/>
                </a:rPr>
                <a:t>±𝐶_𝑣</a:t>
              </a:r>
              <a:r>
                <a:rPr lang="ru-RU" sz="1200" b="0" i="0">
                  <a:latin typeface="Cambria Math"/>
                  <a:ea typeface="Cambria Math"/>
                </a:rPr>
                <a:t>3∙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/>
                  <a:ea typeface="Cambria Math"/>
                </a:rPr>
                <a:t>_(д.в.)=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123825" y="15944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23825" y="15944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4=</a:t>
              </a:r>
              <a:r>
                <a:rPr lang="en-US" sz="1200" b="0" i="0">
                  <a:latin typeface="Cambria Math"/>
                  <a:ea typeface="Cambria Math"/>
                </a:rPr>
                <a:t>±𝐶_𝑣</a:t>
              </a:r>
              <a:r>
                <a:rPr lang="ru-RU" sz="1200" b="0" i="0">
                  <a:latin typeface="Cambria Math"/>
                  <a:ea typeface="Cambria Math"/>
                </a:rPr>
                <a:t>4∙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/>
                  <a:ea typeface="Cambria Math"/>
                </a:rPr>
                <a:t>_(д.в.)=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43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0" y="75723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0" y="75723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𝐶_𝑣1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44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0" y="77438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0" y="77438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𝐶_𝑣</a:t>
              </a:r>
              <a:r>
                <a:rPr lang="ru-RU" sz="1200" b="0" i="0">
                  <a:latin typeface="Cambria Math"/>
                  <a:ea typeface="Cambria Math"/>
                </a:rPr>
                <a:t>2=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45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/>
          </xdr:nvSpPr>
          <xdr:spPr>
            <a:xfrm>
              <a:off x="0" y="79343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0" y="79343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𝐶_𝑣</a:t>
              </a:r>
              <a:r>
                <a:rPr lang="ru-RU" sz="1200" b="0" i="0">
                  <a:latin typeface="Cambria Math"/>
                  <a:ea typeface="Cambria Math"/>
                </a:rPr>
                <a:t>3=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46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 txBox="1"/>
          </xdr:nvSpPr>
          <xdr:spPr>
            <a:xfrm>
              <a:off x="0" y="81438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0" y="81438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𝐶_𝑣</a:t>
              </a:r>
              <a:r>
                <a:rPr lang="ru-RU" sz="1200" b="0" i="0">
                  <a:latin typeface="Cambria Math"/>
                  <a:ea typeface="Cambria Math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96</xdr:row>
      <xdr:rowOff>152400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114300" y="167259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114300" y="167259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_изб1=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98</xdr:row>
      <xdr:rowOff>142875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123825" y="170973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123825" y="170973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𝑣2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100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 txBox="1"/>
          </xdr:nvSpPr>
          <xdr:spPr>
            <a:xfrm>
              <a:off x="114300" y="174498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114300" y="174498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3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</a:t>
              </a:r>
              <a:r>
                <a:rPr lang="en-US" sz="1200" b="0" i="0">
                  <a:latin typeface="Cambria Math"/>
                </a:rPr>
                <a:t>3</a:t>
              </a:r>
              <a:r>
                <a:rPr lang="ru-RU" sz="1200" b="0" i="0">
                  <a:latin typeface="Cambria Math"/>
                </a:rPr>
                <a:t>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𝑣3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 txBox="1"/>
          </xdr:nvSpPr>
          <xdr:spPr>
            <a:xfrm>
              <a:off x="114300" y="17849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114300" y="178498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4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</a:t>
              </a:r>
              <a:r>
                <a:rPr lang="en-US" sz="1200" b="0" i="0">
                  <a:latin typeface="Cambria Math"/>
                </a:rPr>
                <a:t>4</a:t>
              </a:r>
              <a:r>
                <a:rPr lang="ru-RU" sz="1200" b="0" i="0">
                  <a:latin typeface="Cambria Math"/>
                </a:rPr>
                <a:t>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𝑣4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133788</xdr:colOff>
      <xdr:row>19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133788" y="3932631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𝐺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кот.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133788" y="3932631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кот.)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438151</xdr:colOff>
      <xdr:row>68</xdr:row>
      <xdr:rowOff>57150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3638551" y="12249150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аэр.ух.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ух.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3638551" y="12249150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_(аэр.ух.)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ух.)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439832</xdr:colOff>
      <xdr:row>71</xdr:row>
      <xdr:rowOff>58831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3622303" y="13584331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аэр.пр.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3622303" y="13584331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_(аэр.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пр.)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108</xdr:row>
      <xdr:rowOff>46158</xdr:rowOff>
    </xdr:from>
    <xdr:ext cx="3619500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0" y="19667658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п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изб1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изб4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0" y="19667658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 panose="02040503050406030204" pitchFamily="18" charset="0"/>
                </a:rPr>
                <a:t>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∙𝜇_п∙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(2∙𝜌_п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_изб1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〗^(1/2)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112</xdr:row>
      <xdr:rowOff>31505</xdr:rowOff>
    </xdr:from>
    <xdr:ext cx="3575538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0" y="20415005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ух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изб2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изб3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0" y="20415005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∙𝜇_у∙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(2∙𝜌_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〗^(1/2)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164052</xdr:colOff>
      <xdr:row>22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164052" y="4504131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8" name="TextBox 57"/>
            <xdr:cNvSpPr txBox="1"/>
          </xdr:nvSpPr>
          <xdr:spPr>
            <a:xfrm>
              <a:off x="164052" y="4504131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163096</xdr:colOff>
      <xdr:row>23</xdr:row>
      <xdr:rowOff>115304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163096" y="4306304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у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163096" y="4306304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180617</xdr:colOff>
      <xdr:row>20</xdr:row>
      <xdr:rowOff>122631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180617" y="4123131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180617" y="4123131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 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172335</xdr:colOff>
      <xdr:row>21</xdr:row>
      <xdr:rowOff>114348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172335" y="4305348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172335" y="4305348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 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17</xdr:col>
      <xdr:colOff>612074</xdr:colOff>
      <xdr:row>103</xdr:row>
      <xdr:rowOff>74097</xdr:rowOff>
    </xdr:from>
    <xdr:to>
      <xdr:col>29</xdr:col>
      <xdr:colOff>263961</xdr:colOff>
      <xdr:row>107</xdr:row>
      <xdr:rowOff>169467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71217" y="19695597"/>
          <a:ext cx="6999744" cy="857370"/>
        </a:xfrm>
        <a:prstGeom prst="rect">
          <a:avLst/>
        </a:prstGeom>
      </xdr:spPr>
    </xdr:pic>
    <xdr:clientData/>
  </xdr:twoCellAnchor>
  <xdr:twoCellAnchor editAs="oneCell">
    <xdr:from>
      <xdr:col>18</xdr:col>
      <xdr:colOff>4148</xdr:colOff>
      <xdr:row>110</xdr:row>
      <xdr:rowOff>187807</xdr:rowOff>
    </xdr:from>
    <xdr:to>
      <xdr:col>29</xdr:col>
      <xdr:colOff>235699</xdr:colOff>
      <xdr:row>119</xdr:row>
      <xdr:rowOff>121362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053148" y="21254866"/>
          <a:ext cx="6887845" cy="1648055"/>
        </a:xfrm>
        <a:prstGeom prst="rect">
          <a:avLst/>
        </a:prstGeom>
      </xdr:spPr>
    </xdr:pic>
    <xdr:clientData/>
  </xdr:twoCellAnchor>
  <xdr:twoCellAnchor>
    <xdr:from>
      <xdr:col>15</xdr:col>
      <xdr:colOff>588818</xdr:colOff>
      <xdr:row>7</xdr:row>
      <xdr:rowOff>121226</xdr:rowOff>
    </xdr:from>
    <xdr:to>
      <xdr:col>18</xdr:col>
      <xdr:colOff>588818</xdr:colOff>
      <xdr:row>9</xdr:row>
      <xdr:rowOff>103908</xdr:rowOff>
    </xdr:to>
    <xdr:sp macro="" textlink="">
      <xdr:nvSpPr>
        <xdr:cNvPr id="66" name="Стрелка влево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9836727" y="1645226"/>
          <a:ext cx="1818409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408214</xdr:colOff>
      <xdr:row>105</xdr:row>
      <xdr:rowOff>13607</xdr:rowOff>
    </xdr:from>
    <xdr:to>
      <xdr:col>17</xdr:col>
      <xdr:colOff>408214</xdr:colOff>
      <xdr:row>106</xdr:row>
      <xdr:rowOff>186789</xdr:rowOff>
    </xdr:to>
    <xdr:sp macro="" textlink="">
      <xdr:nvSpPr>
        <xdr:cNvPr id="67" name="Стрелка влево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9130393" y="20016107"/>
          <a:ext cx="1836964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325770</xdr:colOff>
      <xdr:row>114</xdr:row>
      <xdr:rowOff>116059</xdr:rowOff>
    </xdr:from>
    <xdr:to>
      <xdr:col>17</xdr:col>
      <xdr:colOff>325770</xdr:colOff>
      <xdr:row>116</xdr:row>
      <xdr:rowOff>98741</xdr:rowOff>
    </xdr:to>
    <xdr:sp macro="" textlink="">
      <xdr:nvSpPr>
        <xdr:cNvPr id="68" name="Стрелка влево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8954299" y="21945118"/>
          <a:ext cx="1815353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0</xdr:colOff>
      <xdr:row>71</xdr:row>
      <xdr:rowOff>44263</xdr:rowOff>
    </xdr:from>
    <xdr:ext cx="2667000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/>
          </xdr:nvSpPr>
          <xdr:spPr>
            <a:xfrm>
              <a:off x="0" y="13569763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кот.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ru-RU" sz="12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9" name="TextBox 68"/>
            <xdr:cNvSpPr txBox="1"/>
          </xdr:nvSpPr>
          <xdr:spPr>
            <a:xfrm>
              <a:off x="0" y="13569763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+</a:t>
              </a:r>
              <a:r>
                <a:rPr lang="en-US" sz="1200" b="0" i="0">
                  <a:latin typeface="Cambria Math" panose="02040503050406030204" pitchFamily="18" charset="0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_(кот.)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118</xdr:row>
      <xdr:rowOff>32066</xdr:rowOff>
    </xdr:from>
    <xdr:ext cx="1582615" cy="5502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/>
          </xdr:nvSpPr>
          <xdr:spPr>
            <a:xfrm>
              <a:off x="0" y="22511066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а</m:t>
                    </m:r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у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п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в</m:t>
                            </m:r>
                          </m:sub>
                        </m:sSub>
                      </m:den>
                    </m:f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0" name="TextBox 69"/>
            <xdr:cNvSpPr txBox="1"/>
          </xdr:nvSpPr>
          <xdr:spPr>
            <a:xfrm>
              <a:off x="0" y="22511066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а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∙(𝜇_у/𝜇_п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п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в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80</xdr:row>
      <xdr:rowOff>133350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 txBox="1"/>
          </xdr:nvSpPr>
          <xdr:spPr>
            <a:xfrm>
              <a:off x="161925" y="15478125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4" name="TextBox 73"/>
            <xdr:cNvSpPr txBox="1"/>
          </xdr:nvSpPr>
          <xdr:spPr>
            <a:xfrm>
              <a:off x="161925" y="15478125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вн3=Н</a:t>
              </a:r>
              <a:r>
                <a:rPr lang="ru-RU" sz="1200" b="0" i="0">
                  <a:latin typeface="Cambria Math" panose="02040503050406030204" pitchFamily="18" charset="0"/>
                </a:rPr>
                <a:t>_2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ru-RU" sz="1200" b="0" i="0">
                  <a:latin typeface="Cambria Math"/>
                  <a:ea typeface="Cambria Math"/>
                </a:rPr>
                <a:t>𝛾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н−𝛾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_ух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133350</xdr:colOff>
      <xdr:row>82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133350" y="158400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5" name="TextBox 74"/>
            <xdr:cNvSpPr txBox="1"/>
          </xdr:nvSpPr>
          <xdr:spPr>
            <a:xfrm>
              <a:off x="133350" y="158400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вн4=Н</a:t>
              </a:r>
              <a:r>
                <a:rPr lang="ru-RU" sz="1200" b="0" i="0">
                  <a:latin typeface="Cambria Math" panose="02040503050406030204" pitchFamily="18" charset="0"/>
                </a:rPr>
                <a:t>_1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ru-RU" sz="1200" b="0" i="0">
                  <a:latin typeface="Cambria Math"/>
                  <a:ea typeface="Cambria Math"/>
                </a:rPr>
                <a:t>𝛾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н−𝛾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_(р.з.)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192057</xdr:colOff>
      <xdr:row>57</xdr:row>
      <xdr:rowOff>101384</xdr:rowOff>
    </xdr:from>
    <xdr:to>
      <xdr:col>32</xdr:col>
      <xdr:colOff>154935</xdr:colOff>
      <xdr:row>69</xdr:row>
      <xdr:rowOff>178040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4057" y="11064659"/>
          <a:ext cx="3620478" cy="2362656"/>
        </a:xfrm>
        <a:prstGeom prst="rect">
          <a:avLst/>
        </a:prstGeom>
      </xdr:spPr>
    </xdr:pic>
    <xdr:clientData/>
  </xdr:twoCellAnchor>
  <xdr:oneCellAnchor>
    <xdr:from>
      <xdr:col>0</xdr:col>
      <xdr:colOff>123826</xdr:colOff>
      <xdr:row>3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𝐻</m:t>
                  </m:r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38101</xdr:colOff>
      <xdr:row>4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изб.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𝑄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изб.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6</xdr:row>
      <xdr:rowOff>160812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р.з.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р.з.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5</xdr:row>
      <xdr:rowOff>141762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н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ru-RU" sz="1100" b="0" i="0">
                  <a:latin typeface="Cambria Math"/>
                </a:rPr>
                <a:t>н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117613</xdr:colOff>
      <xdr:row>29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40586</xdr:colOff>
      <xdr:row>33</xdr:row>
      <xdr:rowOff>152401</xdr:rowOff>
    </xdr:from>
    <xdr:ext cx="1981200" cy="2863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&lt;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д.в.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10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H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∙∆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д.в.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9525</xdr:colOff>
      <xdr:row>37</xdr:row>
      <xdr:rowOff>152400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&gt;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10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ru-RU" sz="1200" i="0">
                  <a:latin typeface="Cambria Math"/>
                  <a:ea typeface="Cambria Math"/>
                </a:rPr>
                <a:t>&gt;</a:t>
              </a:r>
              <a:r>
                <a:rPr lang="en-US" sz="1200" b="0" i="0">
                  <a:latin typeface="Cambria Math"/>
                  <a:ea typeface="Cambria Math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85725</xdr:colOff>
      <xdr:row>8</xdr:row>
      <xdr:rowOff>152400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д.в.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18</xdr:col>
      <xdr:colOff>175648</xdr:colOff>
      <xdr:row>32</xdr:row>
      <xdr:rowOff>186148</xdr:rowOff>
    </xdr:from>
    <xdr:to>
      <xdr:col>27</xdr:col>
      <xdr:colOff>308080</xdr:colOff>
      <xdr:row>50</xdr:row>
      <xdr:rowOff>165895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0848" y="6386923"/>
          <a:ext cx="5618832" cy="3419953"/>
        </a:xfrm>
        <a:prstGeom prst="rect">
          <a:avLst/>
        </a:prstGeom>
      </xdr:spPr>
    </xdr:pic>
    <xdr:clientData/>
  </xdr:twoCellAnchor>
  <xdr:oneCellAnchor>
    <xdr:from>
      <xdr:col>0</xdr:col>
      <xdr:colOff>121778</xdr:colOff>
      <xdr:row>9</xdr:row>
      <xdr:rowOff>149963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𝑣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10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н.в.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105214</xdr:colOff>
      <xdr:row>11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в.в.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95688</xdr:colOff>
      <xdr:row>14</xdr:row>
      <xdr:rowOff>122630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н.в.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105213</xdr:colOff>
      <xdr:row>15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в.в.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29</xdr:col>
      <xdr:colOff>517294</xdr:colOff>
      <xdr:row>5</xdr:row>
      <xdr:rowOff>29194</xdr:rowOff>
    </xdr:from>
    <xdr:to>
      <xdr:col>42</xdr:col>
      <xdr:colOff>590000</xdr:colOff>
      <xdr:row>25</xdr:row>
      <xdr:rowOff>163665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48094" y="1086469"/>
          <a:ext cx="7997506" cy="3944471"/>
        </a:xfrm>
        <a:prstGeom prst="rect">
          <a:avLst/>
        </a:prstGeom>
      </xdr:spPr>
    </xdr:pic>
    <xdr:clientData/>
  </xdr:twoCellAnchor>
  <xdr:oneCellAnchor>
    <xdr:from>
      <xdr:col>0</xdr:col>
      <xdr:colOff>638736</xdr:colOff>
      <xdr:row>68</xdr:row>
      <xdr:rowOff>55470</xdr:rowOff>
    </xdr:from>
    <xdr:ext cx="1994647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638736" y="1311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38736" y="1311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21</xdr:col>
      <xdr:colOff>257051</xdr:colOff>
      <xdr:row>13</xdr:row>
      <xdr:rowOff>35254</xdr:rowOff>
    </xdr:from>
    <xdr:to>
      <xdr:col>24</xdr:col>
      <xdr:colOff>603040</xdr:colOff>
      <xdr:row>28</xdr:row>
      <xdr:rowOff>94756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11051" y="2616529"/>
          <a:ext cx="2174789" cy="2917002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7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ух.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ух.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twoCellAnchor editAs="oneCell">
    <xdr:from>
      <xdr:col>19</xdr:col>
      <xdr:colOff>174419</xdr:colOff>
      <xdr:row>4</xdr:row>
      <xdr:rowOff>164294</xdr:rowOff>
    </xdr:from>
    <xdr:to>
      <xdr:col>27</xdr:col>
      <xdr:colOff>432954</xdr:colOff>
      <xdr:row>12</xdr:row>
      <xdr:rowOff>45397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09219" y="1031069"/>
          <a:ext cx="5135335" cy="1405103"/>
        </a:xfrm>
        <a:prstGeom prst="rect">
          <a:avLst/>
        </a:prstGeom>
      </xdr:spPr>
    </xdr:pic>
    <xdr:clientData/>
  </xdr:twoCellAnchor>
  <xdr:oneCellAnchor>
    <xdr:from>
      <xdr:col>0</xdr:col>
      <xdr:colOff>152838</xdr:colOff>
      <xdr:row>18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/>
                        </a:rPr>
                        <m:t>С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</a:rPr>
                <a:t>С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86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161925" y="16621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61925" y="16621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16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12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13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17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123826</xdr:colOff>
      <xdr:row>2</xdr:row>
      <xdr:rowOff>0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1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ru-RU" sz="1100" b="0" i="0">
                  <a:latin typeface="Cambria Math"/>
                </a:rPr>
                <a:t>1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114301</xdr:colOff>
      <xdr:row>2</xdr:row>
      <xdr:rowOff>170338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152400</xdr:colOff>
      <xdr:row>88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52400" y="17002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52400" y="17002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2=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2∙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90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123825" y="17383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23825" y="17383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3=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3∙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123825" y="17764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23825" y="17764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4=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4∙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43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0" y="843915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0" y="843915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44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0" y="861060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0" y="861060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2=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45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0" y="880110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0" y="880110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3=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46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0" y="901065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0" y="9010650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96</xdr:row>
      <xdr:rowOff>152400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 txBox="1"/>
          </xdr:nvSpPr>
          <xdr:spPr>
            <a:xfrm>
              <a:off x="114300" y="185451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114300" y="185451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_изб1=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98</xdr:row>
      <xdr:rowOff>142875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 txBox="1"/>
          </xdr:nvSpPr>
          <xdr:spPr>
            <a:xfrm>
              <a:off x="123825" y="1891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123825" y="1891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_вн2−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𝑣2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100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 txBox="1"/>
          </xdr:nvSpPr>
          <xdr:spPr>
            <a:xfrm>
              <a:off x="114300" y="192690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114300" y="192690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3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_вн3−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𝑣3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 txBox="1"/>
          </xdr:nvSpPr>
          <xdr:spPr>
            <a:xfrm>
              <a:off x="114300" y="19669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114300" y="19669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4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_вн4−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𝑣4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133788</xdr:colOff>
      <xdr:row>19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𝐺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кот.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кот.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438151</xdr:colOff>
      <xdr:row>68</xdr:row>
      <xdr:rowOff>57150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 txBox="1"/>
          </xdr:nvSpPr>
          <xdr:spPr>
            <a:xfrm>
              <a:off x="3638551" y="1311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аэр.ух.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ух.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3638551" y="1311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_(аэр.ух.)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ух.)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439832</xdr:colOff>
      <xdr:row>71</xdr:row>
      <xdr:rowOff>58831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3640232" y="1368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аэр.пр.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3640232" y="1368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_(аэр.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пр.)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108</xdr:row>
      <xdr:rowOff>46158</xdr:rowOff>
    </xdr:from>
    <xdr:ext cx="3619500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 txBox="1"/>
          </xdr:nvSpPr>
          <xdr:spPr>
            <a:xfrm>
              <a:off x="0" y="20724933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п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изб1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изб4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0" y="20724933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 panose="02040503050406030204" pitchFamily="18" charset="0"/>
                </a:rPr>
                <a:t>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∙𝜇_п∙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(2∙𝜌_п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_изб1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〗^(1/2)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112</xdr:row>
      <xdr:rowOff>31505</xdr:rowOff>
    </xdr:from>
    <xdr:ext cx="3575538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 txBox="1"/>
          </xdr:nvSpPr>
          <xdr:spPr>
            <a:xfrm>
              <a:off x="0" y="21472280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ух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изб2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изб3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0" y="21472280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∙𝜇_у∙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(2∙𝜌_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〗^(1/2)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164052</xdr:colOff>
      <xdr:row>22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163096</xdr:colOff>
      <xdr:row>23</xdr:row>
      <xdr:rowOff>115304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у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180617</xdr:colOff>
      <xdr:row>20</xdr:row>
      <xdr:rowOff>122631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 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172335</xdr:colOff>
      <xdr:row>21</xdr:row>
      <xdr:rowOff>114348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 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17</xdr:col>
      <xdr:colOff>612074</xdr:colOff>
      <xdr:row>103</xdr:row>
      <xdr:rowOff>74097</xdr:rowOff>
    </xdr:from>
    <xdr:to>
      <xdr:col>29</xdr:col>
      <xdr:colOff>263961</xdr:colOff>
      <xdr:row>107</xdr:row>
      <xdr:rowOff>169467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27674" y="19800372"/>
          <a:ext cx="6967087" cy="857370"/>
        </a:xfrm>
        <a:prstGeom prst="rect">
          <a:avLst/>
        </a:prstGeom>
      </xdr:spPr>
    </xdr:pic>
    <xdr:clientData/>
  </xdr:twoCellAnchor>
  <xdr:twoCellAnchor editAs="oneCell">
    <xdr:from>
      <xdr:col>18</xdr:col>
      <xdr:colOff>4148</xdr:colOff>
      <xdr:row>112</xdr:row>
      <xdr:rowOff>53337</xdr:rowOff>
    </xdr:from>
    <xdr:to>
      <xdr:col>29</xdr:col>
      <xdr:colOff>235699</xdr:colOff>
      <xdr:row>120</xdr:row>
      <xdr:rowOff>177392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53148" y="20537690"/>
          <a:ext cx="6887845" cy="1648055"/>
        </a:xfrm>
        <a:prstGeom prst="rect">
          <a:avLst/>
        </a:prstGeom>
      </xdr:spPr>
    </xdr:pic>
    <xdr:clientData/>
  </xdr:twoCellAnchor>
  <xdr:twoCellAnchor>
    <xdr:from>
      <xdr:col>15</xdr:col>
      <xdr:colOff>588818</xdr:colOff>
      <xdr:row>7</xdr:row>
      <xdr:rowOff>121226</xdr:rowOff>
    </xdr:from>
    <xdr:to>
      <xdr:col>18</xdr:col>
      <xdr:colOff>588818</xdr:colOff>
      <xdr:row>9</xdr:row>
      <xdr:rowOff>103908</xdr:rowOff>
    </xdr:to>
    <xdr:sp macro="" textlink="">
      <xdr:nvSpPr>
        <xdr:cNvPr id="58" name="Стрелка влево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9885218" y="1559501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408214</xdr:colOff>
      <xdr:row>105</xdr:row>
      <xdr:rowOff>13607</xdr:rowOff>
    </xdr:from>
    <xdr:to>
      <xdr:col>17</xdr:col>
      <xdr:colOff>408214</xdr:colOff>
      <xdr:row>106</xdr:row>
      <xdr:rowOff>186789</xdr:rowOff>
    </xdr:to>
    <xdr:sp macro="" textlink="">
      <xdr:nvSpPr>
        <xdr:cNvPr id="59" name="Стрелка влево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9095014" y="20120882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325770</xdr:colOff>
      <xdr:row>115</xdr:row>
      <xdr:rowOff>172089</xdr:rowOff>
    </xdr:from>
    <xdr:to>
      <xdr:col>17</xdr:col>
      <xdr:colOff>325770</xdr:colOff>
      <xdr:row>117</xdr:row>
      <xdr:rowOff>154771</xdr:rowOff>
    </xdr:to>
    <xdr:sp macro="" textlink="">
      <xdr:nvSpPr>
        <xdr:cNvPr id="60" name="Стрелка влево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954299" y="21227942"/>
          <a:ext cx="1815353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0</xdr:colOff>
      <xdr:row>71</xdr:row>
      <xdr:rowOff>44263</xdr:rowOff>
    </xdr:from>
    <xdr:ext cx="2667000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 txBox="1"/>
          </xdr:nvSpPr>
          <xdr:spPr>
            <a:xfrm>
              <a:off x="0" y="1367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кот.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ru-RU" sz="12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0" y="1367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+</a:t>
              </a:r>
              <a:r>
                <a:rPr lang="en-US" sz="1200" b="0" i="0">
                  <a:latin typeface="Cambria Math" panose="02040503050406030204" pitchFamily="18" charset="0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_(кот.)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118</xdr:row>
      <xdr:rowOff>32066</xdr:rowOff>
    </xdr:from>
    <xdr:ext cx="1582615" cy="5502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SpPr txBox="1"/>
          </xdr:nvSpPr>
          <xdr:spPr>
            <a:xfrm>
              <a:off x="0" y="22615841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а</m:t>
                    </m:r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у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п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в</m:t>
                            </m:r>
                          </m:sub>
                        </m:sSub>
                      </m:den>
                    </m:f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0" y="22615841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а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∙(𝜇_у/𝜇_п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п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в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</xdr:col>
      <xdr:colOff>19050</xdr:colOff>
      <xdr:row>43</xdr:row>
      <xdr:rowOff>28575</xdr:rowOff>
    </xdr:from>
    <xdr:to>
      <xdr:col>9</xdr:col>
      <xdr:colOff>514312</xdr:colOff>
      <xdr:row>62</xdr:row>
      <xdr:rowOff>163305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0650" y="8324850"/>
          <a:ext cx="4762462" cy="3754230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78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SpPr txBox="1"/>
          </xdr:nvSpPr>
          <xdr:spPr>
            <a:xfrm>
              <a:off x="114300" y="1510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3" name="TextBox 62"/>
            <xdr:cNvSpPr txBox="1"/>
          </xdr:nvSpPr>
          <xdr:spPr>
            <a:xfrm>
              <a:off x="114300" y="1510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_вн2=Н_2</a:t>
              </a:r>
              <a:r>
                <a:rPr lang="ru-RU" sz="1200" b="0" i="0">
                  <a:latin typeface="Cambria Math"/>
                  <a:ea typeface="Cambria Math"/>
                </a:rPr>
                <a:t>∙(𝛾_н−𝛾_ух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180975</xdr:colOff>
      <xdr:row>76</xdr:row>
      <xdr:rowOff>114300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 txBox="1"/>
          </xdr:nvSpPr>
          <xdr:spPr>
            <a:xfrm>
              <a:off x="180975" y="147066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4" name="TextBox 63"/>
            <xdr:cNvSpPr txBox="1"/>
          </xdr:nvSpPr>
          <xdr:spPr>
            <a:xfrm>
              <a:off x="180975" y="147066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_вн1=Н_1</a:t>
              </a:r>
              <a:r>
                <a:rPr lang="ru-RU" sz="1200" b="0" i="0">
                  <a:latin typeface="Cambria Math"/>
                  <a:ea typeface="Cambria Math"/>
                </a:rPr>
                <a:t>∙(𝛾_н−𝛾_(р.з.)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80</xdr:row>
      <xdr:rowOff>133350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SpPr txBox="1"/>
          </xdr:nvSpPr>
          <xdr:spPr>
            <a:xfrm>
              <a:off x="161925" y="1548765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161925" y="1548765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_вн3=Н_</a:t>
              </a:r>
              <a:r>
                <a:rPr lang="ru-RU" sz="1200" b="0" i="0">
                  <a:latin typeface="Cambria Math" panose="02040503050406030204" pitchFamily="18" charset="0"/>
                </a:rPr>
                <a:t>2</a:t>
              </a:r>
              <a:r>
                <a:rPr lang="ru-RU" sz="1200" b="0" i="0">
                  <a:latin typeface="Cambria Math"/>
                  <a:ea typeface="Cambria Math"/>
                </a:rPr>
                <a:t>∙(𝛾_н−𝛾_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  <a:ea typeface="Cambria Math"/>
                </a:rPr>
                <a:t>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133350</xdr:colOff>
      <xdr:row>82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SpPr txBox="1"/>
          </xdr:nvSpPr>
          <xdr:spPr>
            <a:xfrm>
              <a:off x="133350" y="15849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6" name="TextBox 65"/>
            <xdr:cNvSpPr txBox="1"/>
          </xdr:nvSpPr>
          <xdr:spPr>
            <a:xfrm>
              <a:off x="133350" y="15849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_вн4=Н_</a:t>
              </a:r>
              <a:r>
                <a:rPr lang="ru-RU" sz="1200" b="0" i="0">
                  <a:latin typeface="Cambria Math" panose="02040503050406030204" pitchFamily="18" charset="0"/>
                </a:rPr>
                <a:t>1</a:t>
              </a:r>
              <a:r>
                <a:rPr lang="ru-RU" sz="1200" b="0" i="0">
                  <a:latin typeface="Cambria Math"/>
                  <a:ea typeface="Cambria Math"/>
                </a:rPr>
                <a:t>∙(𝛾_н−𝛾_(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р.з.</a:t>
              </a:r>
              <a:r>
                <a:rPr lang="ru-RU" sz="1200" b="0" i="0">
                  <a:latin typeface="Cambria Math"/>
                  <a:ea typeface="Cambria Math"/>
                </a:rPr>
                <a:t>) )=</a:t>
              </a:r>
              <a:endParaRPr lang="ru-RU" sz="12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192057</xdr:colOff>
      <xdr:row>57</xdr:row>
      <xdr:rowOff>101384</xdr:rowOff>
    </xdr:from>
    <xdr:to>
      <xdr:col>32</xdr:col>
      <xdr:colOff>154935</xdr:colOff>
      <xdr:row>69</xdr:row>
      <xdr:rowOff>178040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4057" y="11074184"/>
          <a:ext cx="3620478" cy="2362656"/>
        </a:xfrm>
        <a:prstGeom prst="rect">
          <a:avLst/>
        </a:prstGeom>
      </xdr:spPr>
    </xdr:pic>
    <xdr:clientData/>
  </xdr:twoCellAnchor>
  <xdr:oneCellAnchor>
    <xdr:from>
      <xdr:col>0</xdr:col>
      <xdr:colOff>123826</xdr:colOff>
      <xdr:row>3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𝐻</m:t>
                  </m:r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38101</xdr:colOff>
      <xdr:row>4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изб.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𝑄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изб.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6</xdr:row>
      <xdr:rowOff>160812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р.з.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р.з.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5</xdr:row>
      <xdr:rowOff>141762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н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ru-RU" sz="1100" b="0" i="0">
                  <a:latin typeface="Cambria Math"/>
                </a:rPr>
                <a:t>н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117613</xdr:colOff>
      <xdr:row>29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40586</xdr:colOff>
      <xdr:row>33</xdr:row>
      <xdr:rowOff>152401</xdr:rowOff>
    </xdr:from>
    <xdr:ext cx="1981200" cy="2863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&lt;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д.в.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10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H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∙∆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д.в.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9525</xdr:colOff>
      <xdr:row>37</xdr:row>
      <xdr:rowOff>152400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&gt;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10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ru-RU" sz="1200" i="0">
                  <a:latin typeface="Cambria Math"/>
                  <a:ea typeface="Cambria Math"/>
                </a:rPr>
                <a:t>&gt;</a:t>
              </a:r>
              <a:r>
                <a:rPr lang="en-US" sz="1200" b="0" i="0">
                  <a:latin typeface="Cambria Math"/>
                  <a:ea typeface="Cambria Math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85725</xdr:colOff>
      <xdr:row>8</xdr:row>
      <xdr:rowOff>152400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д.в.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18</xdr:col>
      <xdr:colOff>175648</xdr:colOff>
      <xdr:row>32</xdr:row>
      <xdr:rowOff>186148</xdr:rowOff>
    </xdr:from>
    <xdr:to>
      <xdr:col>27</xdr:col>
      <xdr:colOff>308080</xdr:colOff>
      <xdr:row>50</xdr:row>
      <xdr:rowOff>165895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0848" y="6386923"/>
          <a:ext cx="5618832" cy="3418272"/>
        </a:xfrm>
        <a:prstGeom prst="rect">
          <a:avLst/>
        </a:prstGeom>
      </xdr:spPr>
    </xdr:pic>
    <xdr:clientData/>
  </xdr:twoCellAnchor>
  <xdr:oneCellAnchor>
    <xdr:from>
      <xdr:col>0</xdr:col>
      <xdr:colOff>121778</xdr:colOff>
      <xdr:row>9</xdr:row>
      <xdr:rowOff>149963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𝑣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10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н.в.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105214</xdr:colOff>
      <xdr:row>11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в.в.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95688</xdr:colOff>
      <xdr:row>14</xdr:row>
      <xdr:rowOff>122630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н.в.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105213</xdr:colOff>
      <xdr:row>15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</a:rPr>
                <a:t>в.в.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29</xdr:col>
      <xdr:colOff>517294</xdr:colOff>
      <xdr:row>5</xdr:row>
      <xdr:rowOff>29194</xdr:rowOff>
    </xdr:from>
    <xdr:to>
      <xdr:col>42</xdr:col>
      <xdr:colOff>590000</xdr:colOff>
      <xdr:row>25</xdr:row>
      <xdr:rowOff>163665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48094" y="1086469"/>
          <a:ext cx="7997506" cy="3944471"/>
        </a:xfrm>
        <a:prstGeom prst="rect">
          <a:avLst/>
        </a:prstGeom>
      </xdr:spPr>
    </xdr:pic>
    <xdr:clientData/>
  </xdr:twoCellAnchor>
  <xdr:oneCellAnchor>
    <xdr:from>
      <xdr:col>0</xdr:col>
      <xdr:colOff>638736</xdr:colOff>
      <xdr:row>68</xdr:row>
      <xdr:rowOff>55470</xdr:rowOff>
    </xdr:from>
    <xdr:ext cx="1994647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638736" y="13123770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38736" y="13123770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21</xdr:col>
      <xdr:colOff>257051</xdr:colOff>
      <xdr:row>13</xdr:row>
      <xdr:rowOff>35254</xdr:rowOff>
    </xdr:from>
    <xdr:to>
      <xdr:col>24</xdr:col>
      <xdr:colOff>603040</xdr:colOff>
      <xdr:row>28</xdr:row>
      <xdr:rowOff>94756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11051" y="2616529"/>
          <a:ext cx="2174789" cy="2917002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7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ух.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ru-RU" sz="1100" b="0" i="0">
                  <a:latin typeface="Cambria Math"/>
                </a:rPr>
                <a:t>ух.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twoCellAnchor editAs="oneCell">
    <xdr:from>
      <xdr:col>19</xdr:col>
      <xdr:colOff>174419</xdr:colOff>
      <xdr:row>4</xdr:row>
      <xdr:rowOff>164294</xdr:rowOff>
    </xdr:from>
    <xdr:to>
      <xdr:col>27</xdr:col>
      <xdr:colOff>432954</xdr:colOff>
      <xdr:row>12</xdr:row>
      <xdr:rowOff>45397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09219" y="1031069"/>
          <a:ext cx="5135335" cy="1405103"/>
        </a:xfrm>
        <a:prstGeom prst="rect">
          <a:avLst/>
        </a:prstGeom>
      </xdr:spPr>
    </xdr:pic>
    <xdr:clientData/>
  </xdr:twoCellAnchor>
  <xdr:oneCellAnchor>
    <xdr:from>
      <xdr:col>0</xdr:col>
      <xdr:colOff>152838</xdr:colOff>
      <xdr:row>18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/>
                        </a:rPr>
                        <m:t>С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</a:rPr>
                <a:t>С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86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61925" y="15487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61925" y="15487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16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12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13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17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</a:t>
              </a:r>
              <a:r>
                <a:rPr lang="ru-RU" sz="120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123826</xdr:colOff>
      <xdr:row>2</xdr:row>
      <xdr:rowOff>0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1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ru-RU" sz="1100" b="0" i="0">
                  <a:latin typeface="Cambria Math"/>
                </a:rPr>
                <a:t>1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114301</xdr:colOff>
      <xdr:row>2</xdr:row>
      <xdr:rowOff>170338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2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152400</xdr:colOff>
      <xdr:row>88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52400" y="15868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52400" y="15868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2=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2∙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90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123825" y="16249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23825" y="16249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3=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3∙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123825" y="16630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±</m:t>
                    </m:r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д.в.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23825" y="16630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4=</a:t>
              </a:r>
              <a:r>
                <a:rPr lang="en-US" sz="1200" b="0" i="0">
                  <a:latin typeface="Cambria Math"/>
                  <a:ea typeface="Cambria Math"/>
                </a:rPr>
                <a:t>±𝐶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4∙</a:t>
              </a:r>
              <a:r>
                <a:rPr lang="en-US" sz="1200" b="0" i="0">
                  <a:latin typeface="Cambria Math"/>
                  <a:ea typeface="Cambria Math"/>
                </a:rPr>
                <a:t>𝑃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д.в.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43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0" y="84486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0" y="84486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44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0" y="86201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0" y="86201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2=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45</xdr:row>
      <xdr:rowOff>123825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0" y="88106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0" y="881062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3=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46</xdr:row>
      <xdr:rowOff>142875</xdr:rowOff>
    </xdr:from>
    <xdr:ext cx="8286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0" y="90201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𝑣</m:t>
                        </m:r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0" y="9020175"/>
              <a:ext cx="8286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  <a:ea typeface="Cambria Math"/>
                </a:rPr>
                <a:t>𝐶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en-US" sz="1200" b="0" i="0">
                  <a:latin typeface="Cambria Math"/>
                  <a:ea typeface="Cambria Math"/>
                </a:rPr>
                <a:t>𝑣</a:t>
              </a:r>
              <a:r>
                <a:rPr lang="ru-RU" sz="1200" b="0" i="0">
                  <a:latin typeface="Cambria Math"/>
                  <a:ea typeface="Cambria Math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96</xdr:row>
      <xdr:rowOff>152400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114300" y="174117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14300" y="174117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_изб1=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𝑣1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98</xdr:row>
      <xdr:rowOff>142875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123825" y="177831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123825" y="177831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_вн2−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𝑣2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100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114300" y="18135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114300" y="18135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3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_вн3−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𝑣3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114300</xdr:colOff>
      <xdr:row>102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114300" y="18535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14300" y="18535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4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_вн4−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𝑣4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133788</xdr:colOff>
      <xdr:row>19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𝐺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кот.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кот.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438151</xdr:colOff>
      <xdr:row>68</xdr:row>
      <xdr:rowOff>57150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3638551" y="13125450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аэр.ух.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ух.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3638551" y="13125450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аэр.ух.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_(аэр.ух.)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ух.)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439832</xdr:colOff>
      <xdr:row>71</xdr:row>
      <xdr:rowOff>58831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3640232" y="13698631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аэр.пр.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3640232" y="13698631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_(аэр.пр.)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𝜌_(</a:t>
              </a:r>
              <a:r>
                <a:rPr lang="ru-RU" sz="1200" b="0" i="0">
                  <a:latin typeface="Cambria Math" panose="02040503050406030204" pitchFamily="18" charset="0"/>
                </a:rPr>
                <a:t>пр.) 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108</xdr:row>
      <xdr:rowOff>46158</xdr:rowOff>
    </xdr:from>
    <xdr:ext cx="3619500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0" y="19591458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п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п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изб1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изб4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0" y="19591458"/>
              <a:ext cx="3619500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</a:t>
              </a:r>
              <a:r>
                <a:rPr lang="en-US" sz="1200" b="0" i="0">
                  <a:latin typeface="Cambria Math" panose="02040503050406030204" pitchFamily="18" charset="0"/>
                </a:rPr>
                <a:t>1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∙𝜇_п∙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(2∙𝜌_п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_изб1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_изб4〗^(1/2) ]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112</xdr:row>
      <xdr:rowOff>31505</xdr:rowOff>
    </xdr:from>
    <xdr:ext cx="3575538" cy="67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0" y="20338805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у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ух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изб2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изб3</m:t>
                                    </m:r>
                                  </m:sub>
                                </m:sSub>
                              </m:e>
                              <m:sup>
                                <m:f>
                                  <m:f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0" y="20338805"/>
              <a:ext cx="3575538" cy="67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∙𝜇_у∙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(2∙𝜌_ух 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^(1/2)∙[〖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〗^(1/2)+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_изб3〗^(1/2) ]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164052</xdr:colOff>
      <xdr:row>22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163096</xdr:colOff>
      <xdr:row>23</xdr:row>
      <xdr:rowOff>115304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у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180617</xdr:colOff>
      <xdr:row>20</xdr:row>
      <xdr:rowOff>122631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172335</xdr:colOff>
      <xdr:row>21</xdr:row>
      <xdr:rowOff>114348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17</xdr:col>
      <xdr:colOff>612074</xdr:colOff>
      <xdr:row>103</xdr:row>
      <xdr:rowOff>74097</xdr:rowOff>
    </xdr:from>
    <xdr:to>
      <xdr:col>29</xdr:col>
      <xdr:colOff>263961</xdr:colOff>
      <xdr:row>107</xdr:row>
      <xdr:rowOff>169467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27674" y="18666897"/>
          <a:ext cx="6967087" cy="857370"/>
        </a:xfrm>
        <a:prstGeom prst="rect">
          <a:avLst/>
        </a:prstGeom>
      </xdr:spPr>
    </xdr:pic>
    <xdr:clientData/>
  </xdr:twoCellAnchor>
  <xdr:twoCellAnchor editAs="oneCell">
    <xdr:from>
      <xdr:col>18</xdr:col>
      <xdr:colOff>4148</xdr:colOff>
      <xdr:row>112</xdr:row>
      <xdr:rowOff>53337</xdr:rowOff>
    </xdr:from>
    <xdr:to>
      <xdr:col>29</xdr:col>
      <xdr:colOff>235699</xdr:colOff>
      <xdr:row>120</xdr:row>
      <xdr:rowOff>177392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29348" y="20360637"/>
          <a:ext cx="6937151" cy="1648055"/>
        </a:xfrm>
        <a:prstGeom prst="rect">
          <a:avLst/>
        </a:prstGeom>
      </xdr:spPr>
    </xdr:pic>
    <xdr:clientData/>
  </xdr:twoCellAnchor>
  <xdr:twoCellAnchor>
    <xdr:from>
      <xdr:col>15</xdr:col>
      <xdr:colOff>588818</xdr:colOff>
      <xdr:row>7</xdr:row>
      <xdr:rowOff>121226</xdr:rowOff>
    </xdr:from>
    <xdr:to>
      <xdr:col>18</xdr:col>
      <xdr:colOff>588818</xdr:colOff>
      <xdr:row>9</xdr:row>
      <xdr:rowOff>103908</xdr:rowOff>
    </xdr:to>
    <xdr:sp macro="" textlink="">
      <xdr:nvSpPr>
        <xdr:cNvPr id="53" name="Стрелка влево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9885218" y="1559501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408214</xdr:colOff>
      <xdr:row>105</xdr:row>
      <xdr:rowOff>13607</xdr:rowOff>
    </xdr:from>
    <xdr:to>
      <xdr:col>17</xdr:col>
      <xdr:colOff>408214</xdr:colOff>
      <xdr:row>106</xdr:row>
      <xdr:rowOff>186789</xdr:rowOff>
    </xdr:to>
    <xdr:sp macro="" textlink="">
      <xdr:nvSpPr>
        <xdr:cNvPr id="54" name="Стрелка влево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9095014" y="18987407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325770</xdr:colOff>
      <xdr:row>115</xdr:row>
      <xdr:rowOff>172089</xdr:rowOff>
    </xdr:from>
    <xdr:to>
      <xdr:col>17</xdr:col>
      <xdr:colOff>325770</xdr:colOff>
      <xdr:row>117</xdr:row>
      <xdr:rowOff>154771</xdr:rowOff>
    </xdr:to>
    <xdr:sp macro="" textlink="">
      <xdr:nvSpPr>
        <xdr:cNvPr id="55" name="Стрелка влево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9012570" y="21050889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0</xdr:colOff>
      <xdr:row>71</xdr:row>
      <xdr:rowOff>44263</xdr:rowOff>
    </xdr:from>
    <xdr:ext cx="2667000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SpPr txBox="1"/>
          </xdr:nvSpPr>
          <xdr:spPr>
            <a:xfrm>
              <a:off x="0" y="13684063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кот.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ru-RU" sz="12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0" y="13684063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 panose="02040503050406030204" pitchFamily="18" charset="0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ru-RU" sz="1200" b="0" i="0">
                  <a:latin typeface="Cambria Math"/>
                  <a:ea typeface="Cambria Math"/>
                </a:rPr>
                <a:t>н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 ) </a:t>
              </a:r>
              <a:r>
                <a:rPr lang="en-US" sz="12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+</a:t>
              </a:r>
              <a:r>
                <a:rPr lang="en-US" sz="1200" b="0" i="0">
                  <a:latin typeface="Cambria Math" panose="02040503050406030204" pitchFamily="18" charset="0"/>
                </a:rPr>
                <a:t>𝐺</a:t>
              </a:r>
              <a:r>
                <a:rPr lang="ru-RU" sz="1200" b="0" i="0">
                  <a:latin typeface="Cambria Math" panose="02040503050406030204" pitchFamily="18" charset="0"/>
                </a:rPr>
                <a:t>_(кот.)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0</xdr:colOff>
      <xdr:row>118</xdr:row>
      <xdr:rowOff>32066</xdr:rowOff>
    </xdr:from>
    <xdr:ext cx="1582615" cy="5502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 txBox="1"/>
          </xdr:nvSpPr>
          <xdr:spPr>
            <a:xfrm>
              <a:off x="0" y="21482366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а</m:t>
                    </m:r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у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п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п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el-G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Σ</m:t>
                        </m:r>
                        <m:sSub>
                          <m:sSubPr>
                            <m:ctrlPr>
                              <a:rPr lang="el-GR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в</m:t>
                            </m:r>
                          </m:sub>
                        </m:sSub>
                      </m:den>
                    </m:f>
                    <m:r>
                      <a:rPr lang="ru-RU" sz="1200" b="0" i="1">
                        <a:latin typeface="Cambria Math" panose="02040503050406030204" pitchFamily="18" charset="0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0" y="21482366"/>
              <a:ext cx="1582615" cy="550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а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∙(𝜇_у/𝜇_п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п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l-G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в 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)=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</xdr:col>
      <xdr:colOff>2</xdr:colOff>
      <xdr:row>43</xdr:row>
      <xdr:rowOff>33619</xdr:rowOff>
    </xdr:from>
    <xdr:to>
      <xdr:col>9</xdr:col>
      <xdr:colOff>334207</xdr:colOff>
      <xdr:row>62</xdr:row>
      <xdr:rowOff>156883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67120" y="8337178"/>
          <a:ext cx="4570028" cy="3742764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78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114300" y="1510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114300" y="15106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_вн2=Н_2</a:t>
              </a:r>
              <a:r>
                <a:rPr lang="ru-RU" sz="1200" b="0" i="0">
                  <a:latin typeface="Cambria Math"/>
                  <a:ea typeface="Cambria Math"/>
                </a:rPr>
                <a:t>∙(𝛾_н−𝛾_ух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180975</xdr:colOff>
      <xdr:row>76</xdr:row>
      <xdr:rowOff>114300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180975" y="147066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180975" y="1470660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_вн1=Н_1</a:t>
              </a:r>
              <a:r>
                <a:rPr lang="ru-RU" sz="1200" b="0" i="0">
                  <a:latin typeface="Cambria Math"/>
                  <a:ea typeface="Cambria Math"/>
                </a:rPr>
                <a:t>∙(𝛾_н−𝛾_(р.з.)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80</xdr:row>
      <xdr:rowOff>133350</xdr:rowOff>
    </xdr:from>
    <xdr:ext cx="181927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161925" y="1548765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ух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61925" y="15487650"/>
              <a:ext cx="181927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_вн3=Н_</a:t>
              </a:r>
              <a:r>
                <a:rPr lang="ru-RU" sz="1200" b="0" i="0">
                  <a:latin typeface="Cambria Math" panose="02040503050406030204" pitchFamily="18" charset="0"/>
                </a:rPr>
                <a:t>2</a:t>
              </a:r>
              <a:r>
                <a:rPr lang="ru-RU" sz="1200" b="0" i="0">
                  <a:latin typeface="Cambria Math"/>
                  <a:ea typeface="Cambria Math"/>
                </a:rPr>
                <a:t>∙(𝛾_н−𝛾_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  <a:ea typeface="Cambria Math"/>
                </a:rPr>
                <a:t>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133350</xdr:colOff>
      <xdr:row>82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133350" y="15849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вн4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н</m:t>
                            </m:r>
                          </m:sub>
                        </m:sSub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  <m:t>р.з.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3" name="TextBox 62"/>
            <xdr:cNvSpPr txBox="1"/>
          </xdr:nvSpPr>
          <xdr:spPr>
            <a:xfrm>
              <a:off x="133350" y="1584960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_вн4=Н_</a:t>
              </a:r>
              <a:r>
                <a:rPr lang="ru-RU" sz="1200" b="0" i="0">
                  <a:latin typeface="Cambria Math" panose="02040503050406030204" pitchFamily="18" charset="0"/>
                </a:rPr>
                <a:t>1</a:t>
              </a:r>
              <a:r>
                <a:rPr lang="ru-RU" sz="1200" b="0" i="0">
                  <a:latin typeface="Cambria Math"/>
                  <a:ea typeface="Cambria Math"/>
                </a:rPr>
                <a:t>∙(𝛾_н−𝛾_(</a:t>
              </a:r>
              <a:r>
                <a:rPr lang="ru-RU" sz="1200" b="0" i="0">
                  <a:latin typeface="Cambria Math" panose="02040503050406030204" pitchFamily="18" charset="0"/>
                  <a:ea typeface="Cambria Math"/>
                </a:rPr>
                <a:t>р.з.</a:t>
              </a:r>
              <a:r>
                <a:rPr lang="ru-RU" sz="1200" b="0" i="0">
                  <a:latin typeface="Cambria Math"/>
                  <a:ea typeface="Cambria Math"/>
                </a:rPr>
                <a:t>) )=</a:t>
              </a:r>
              <a:endParaRPr lang="ru-RU" sz="12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192057</xdr:colOff>
      <xdr:row>42</xdr:row>
      <xdr:rowOff>0</xdr:rowOff>
    </xdr:from>
    <xdr:to>
      <xdr:col>32</xdr:col>
      <xdr:colOff>154935</xdr:colOff>
      <xdr:row>54</xdr:row>
      <xdr:rowOff>76656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4057" y="11064659"/>
          <a:ext cx="3620478" cy="2362656"/>
        </a:xfrm>
        <a:prstGeom prst="rect">
          <a:avLst/>
        </a:prstGeom>
      </xdr:spPr>
    </xdr:pic>
    <xdr:clientData/>
  </xdr:twoCellAnchor>
  <xdr:oneCellAnchor>
    <xdr:from>
      <xdr:col>0</xdr:col>
      <xdr:colOff>123826</xdr:colOff>
      <xdr:row>3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𝐻</m:t>
                  </m:r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38101</xdr:colOff>
      <xdr:row>4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изб.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𝑄_(</a:t>
              </a:r>
              <a:r>
                <a:rPr lang="ru-RU" sz="1100" b="0" i="0">
                  <a:latin typeface="Cambria Math"/>
                </a:rPr>
                <a:t>изб.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6</xdr:row>
      <xdr:rowOff>160812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р.з.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р.з.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5</xdr:row>
      <xdr:rowOff>141762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н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</a:t>
              </a:r>
              <a:r>
                <a:rPr lang="ru-RU" sz="1100" b="0" i="0">
                  <a:latin typeface="Cambria Math"/>
                </a:rPr>
                <a:t>н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117613</xdr:colOff>
      <xdr:row>29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40586</xdr:colOff>
      <xdr:row>33</xdr:row>
      <xdr:rowOff>152401</xdr:rowOff>
    </xdr:from>
    <xdr:ext cx="1981200" cy="2863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&lt;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д.в.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10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H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∙∆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〗_(д.в.)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9525</xdr:colOff>
      <xdr:row>37</xdr:row>
      <xdr:rowOff>152400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&gt;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10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&gt;</a:t>
              </a:r>
              <a:r>
                <a:rPr lang="en-US" sz="1200" b="0" i="0">
                  <a:latin typeface="Cambria Math"/>
                  <a:ea typeface="Cambria Math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85725</xdr:colOff>
      <xdr:row>8</xdr:row>
      <xdr:rowOff>152400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д.в.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18</xdr:col>
      <xdr:colOff>175648</xdr:colOff>
      <xdr:row>32</xdr:row>
      <xdr:rowOff>186148</xdr:rowOff>
    </xdr:from>
    <xdr:to>
      <xdr:col>27</xdr:col>
      <xdr:colOff>308080</xdr:colOff>
      <xdr:row>50</xdr:row>
      <xdr:rowOff>177101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0848" y="6386923"/>
          <a:ext cx="5618832" cy="3419953"/>
        </a:xfrm>
        <a:prstGeom prst="rect">
          <a:avLst/>
        </a:prstGeom>
      </xdr:spPr>
    </xdr:pic>
    <xdr:clientData/>
  </xdr:twoCellAnchor>
  <xdr:oneCellAnchor>
    <xdr:from>
      <xdr:col>0</xdr:col>
      <xdr:colOff>121778</xdr:colOff>
      <xdr:row>9</xdr:row>
      <xdr:rowOff>149963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𝑣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_(в.)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10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105214</xdr:colOff>
      <xdr:row>11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95688</xdr:colOff>
      <xdr:row>14</xdr:row>
      <xdr:rowOff>122630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105213</xdr:colOff>
      <xdr:row>15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29</xdr:col>
      <xdr:colOff>517294</xdr:colOff>
      <xdr:row>5</xdr:row>
      <xdr:rowOff>29194</xdr:rowOff>
    </xdr:from>
    <xdr:to>
      <xdr:col>42</xdr:col>
      <xdr:colOff>590000</xdr:colOff>
      <xdr:row>25</xdr:row>
      <xdr:rowOff>163665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48094" y="1086469"/>
          <a:ext cx="7997506" cy="3944471"/>
        </a:xfrm>
        <a:prstGeom prst="rect">
          <a:avLst/>
        </a:prstGeom>
      </xdr:spPr>
    </xdr:pic>
    <xdr:clientData/>
  </xdr:twoCellAnchor>
  <xdr:oneCellAnchor>
    <xdr:from>
      <xdr:col>0</xdr:col>
      <xdr:colOff>638736</xdr:colOff>
      <xdr:row>48</xdr:row>
      <xdr:rowOff>55470</xdr:rowOff>
    </xdr:from>
    <xdr:ext cx="1994647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638736" y="1311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38736" y="1311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_(аэр.ух.)</a:t>
              </a:r>
              <a:r>
                <a:rPr lang="en-US" sz="1200" b="0" i="0">
                  <a:latin typeface="Cambria Math"/>
                </a:rPr>
                <a:t>=(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_н ) </a:t>
              </a:r>
              <a:r>
                <a:rPr lang="en-US" sz="1200" b="0" i="0">
                  <a:latin typeface="Cambria Math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21</xdr:col>
      <xdr:colOff>257051</xdr:colOff>
      <xdr:row>13</xdr:row>
      <xdr:rowOff>35254</xdr:rowOff>
    </xdr:from>
    <xdr:to>
      <xdr:col>24</xdr:col>
      <xdr:colOff>603040</xdr:colOff>
      <xdr:row>28</xdr:row>
      <xdr:rowOff>94756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11051" y="2616529"/>
          <a:ext cx="2174789" cy="2917002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7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ух.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ух.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twoCellAnchor editAs="oneCell">
    <xdr:from>
      <xdr:col>19</xdr:col>
      <xdr:colOff>174419</xdr:colOff>
      <xdr:row>4</xdr:row>
      <xdr:rowOff>164294</xdr:rowOff>
    </xdr:from>
    <xdr:to>
      <xdr:col>27</xdr:col>
      <xdr:colOff>432954</xdr:colOff>
      <xdr:row>12</xdr:row>
      <xdr:rowOff>45397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09219" y="1031069"/>
          <a:ext cx="5135335" cy="1405103"/>
        </a:xfrm>
        <a:prstGeom prst="rect">
          <a:avLst/>
        </a:prstGeom>
      </xdr:spPr>
    </xdr:pic>
    <xdr:clientData/>
  </xdr:twoCellAnchor>
  <xdr:oneCellAnchor>
    <xdr:from>
      <xdr:col>0</xdr:col>
      <xdr:colOff>152838</xdr:colOff>
      <xdr:row>18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/>
                        </a:rPr>
                        <m:t>С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</a:rPr>
                <a:t>С_в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16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12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13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17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123826</xdr:colOff>
      <xdr:row>2</xdr:row>
      <xdr:rowOff>0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1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𝐻_</a:t>
              </a:r>
              <a:r>
                <a:rPr lang="ru-RU" sz="1100" b="0" i="0">
                  <a:latin typeface="Cambria Math"/>
                </a:rPr>
                <a:t>1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114301</xdr:colOff>
      <xdr:row>2</xdr:row>
      <xdr:rowOff>170338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𝐻_2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60</xdr:row>
      <xdr:rowOff>152400</xdr:rowOff>
    </xdr:from>
    <xdr:ext cx="2171700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0" y="11687175"/>
              <a:ext cx="217170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0,1÷0,4</m:t>
                        </m:r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0" y="11687175"/>
              <a:ext cx="217170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_изб1=(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0,1÷0,4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200025</xdr:colOff>
      <xdr:row>62</xdr:row>
      <xdr:rowOff>142875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 txBox="1"/>
          </xdr:nvSpPr>
          <xdr:spPr>
            <a:xfrm>
              <a:off x="200025" y="12058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изб1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200025" y="120586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_изб1=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28575</xdr:colOff>
      <xdr:row>64</xdr:row>
      <xdr:rowOff>142875</xdr:rowOff>
    </xdr:from>
    <xdr:ext cx="202882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 txBox="1"/>
          </xdr:nvSpPr>
          <xdr:spPr>
            <a:xfrm>
              <a:off x="28575" y="12439650"/>
              <a:ext cx="202882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0,1÷0,4</m:t>
                        </m:r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>
                <a:effectLst/>
              </a:endParaRPr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28575" y="12439650"/>
              <a:ext cx="202882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4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(0,1÷0,4)∙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_р=</a:t>
              </a:r>
              <a:endParaRPr lang="ru-RU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133788</xdr:colOff>
      <xdr:row>19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𝐺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кот.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кот.)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438151</xdr:colOff>
      <xdr:row>48</xdr:row>
      <xdr:rowOff>57150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 txBox="1"/>
          </xdr:nvSpPr>
          <xdr:spPr>
            <a:xfrm>
              <a:off x="3638551" y="1311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аэр.ух.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ух.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3638551" y="1311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/>
                </a:rPr>
                <a:t>_(аэр.ух.)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аэр.ух.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</a:t>
              </a:r>
              <a:r>
                <a:rPr lang="ru-RU" sz="1200" b="0" i="0">
                  <a:latin typeface="Cambria Math"/>
                  <a:ea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ух.</a:t>
              </a:r>
              <a:r>
                <a:rPr lang="ru-RU" sz="1200" b="0" i="0">
                  <a:latin typeface="Cambria Math"/>
                </a:rPr>
                <a:t>) 〗_.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439832</xdr:colOff>
      <xdr:row>51</xdr:row>
      <xdr:rowOff>58831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3640232" y="1368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аэр.пр.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3640232" y="1368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/>
                </a:rPr>
                <a:t>_(аэр.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аэр.пр.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</a:t>
              </a:r>
              <a:r>
                <a:rPr lang="ru-RU" sz="1200" b="0" i="0">
                  <a:latin typeface="Cambria Math"/>
                  <a:ea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пр.</a:t>
              </a:r>
              <a:r>
                <a:rPr lang="ru-RU" sz="1200" b="0" i="0">
                  <a:latin typeface="Cambria Math"/>
                </a:rPr>
                <a:t>) 〗_.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542925</xdr:colOff>
      <xdr:row>71</xdr:row>
      <xdr:rowOff>46158</xdr:rowOff>
    </xdr:from>
    <xdr:ext cx="2533650" cy="7634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SpPr txBox="1"/>
          </xdr:nvSpPr>
          <xdr:spPr>
            <a:xfrm>
              <a:off x="1276350" y="1367643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аэр.пр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пр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ad>
                          <m:radPr>
                            <m:degHide m:val="on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пр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𝜉</m:t>
                                    </m:r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п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1276350" y="1367643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_1</a:t>
              </a:r>
              <a:r>
                <a:rPr lang="ru-RU" sz="1200" b="0" i="0">
                  <a:latin typeface="Cambria Math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_4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аэр.пр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∙√((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𝜉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164052</xdr:colOff>
      <xdr:row>22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163096</xdr:colOff>
      <xdr:row>23</xdr:row>
      <xdr:rowOff>115304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300-000034000000}"/>
                </a:ext>
              </a:extLst>
            </xdr:cNvPr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у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180617</xdr:colOff>
      <xdr:row>20</xdr:row>
      <xdr:rowOff>122631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172335</xdr:colOff>
      <xdr:row>21</xdr:row>
      <xdr:rowOff>114348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300-000036000000}"/>
                </a:ext>
              </a:extLst>
            </xdr:cNvPr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17</xdr:col>
      <xdr:colOff>612074</xdr:colOff>
      <xdr:row>67</xdr:row>
      <xdr:rowOff>74097</xdr:rowOff>
    </xdr:from>
    <xdr:to>
      <xdr:col>29</xdr:col>
      <xdr:colOff>263961</xdr:colOff>
      <xdr:row>71</xdr:row>
      <xdr:rowOff>169467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27674" y="19800372"/>
          <a:ext cx="6967087" cy="8573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127413</xdr:colOff>
      <xdr:row>81</xdr:row>
      <xdr:rowOff>0</xdr:rowOff>
    </xdr:from>
    <xdr:to>
      <xdr:col>29</xdr:col>
      <xdr:colOff>358964</xdr:colOff>
      <xdr:row>89</xdr:row>
      <xdr:rowOff>124055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52613" y="22643275"/>
          <a:ext cx="6937151" cy="1648055"/>
        </a:xfrm>
        <a:prstGeom prst="rect">
          <a:avLst/>
        </a:prstGeom>
      </xdr:spPr>
    </xdr:pic>
    <xdr:clientData/>
  </xdr:twoCellAnchor>
  <xdr:twoCellAnchor>
    <xdr:from>
      <xdr:col>15</xdr:col>
      <xdr:colOff>588818</xdr:colOff>
      <xdr:row>7</xdr:row>
      <xdr:rowOff>121226</xdr:rowOff>
    </xdr:from>
    <xdr:to>
      <xdr:col>18</xdr:col>
      <xdr:colOff>588818</xdr:colOff>
      <xdr:row>9</xdr:row>
      <xdr:rowOff>103908</xdr:rowOff>
    </xdr:to>
    <xdr:sp macro="" textlink="">
      <xdr:nvSpPr>
        <xdr:cNvPr id="57" name="Стрелка влево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9885218" y="1559501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408214</xdr:colOff>
      <xdr:row>69</xdr:row>
      <xdr:rowOff>13607</xdr:rowOff>
    </xdr:from>
    <xdr:to>
      <xdr:col>17</xdr:col>
      <xdr:colOff>408214</xdr:colOff>
      <xdr:row>70</xdr:row>
      <xdr:rowOff>0</xdr:rowOff>
    </xdr:to>
    <xdr:sp macro="" textlink="">
      <xdr:nvSpPr>
        <xdr:cNvPr id="58" name="Стрелка влево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9095014" y="20120882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0</xdr:colOff>
      <xdr:row>51</xdr:row>
      <xdr:rowOff>44263</xdr:rowOff>
    </xdr:from>
    <xdr:ext cx="2667000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SpPr txBox="1"/>
          </xdr:nvSpPr>
          <xdr:spPr>
            <a:xfrm>
              <a:off x="0" y="1367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кот.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ru-RU" sz="12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0" y="1367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 b="0" i="0">
                  <a:latin typeface="Cambria Math"/>
                </a:rPr>
                <a:t>=(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_н ) </a:t>
              </a:r>
              <a:r>
                <a:rPr lang="en-US" sz="1200" b="0" i="0">
                  <a:latin typeface="Cambria Math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+</a:t>
              </a:r>
              <a:r>
                <a:rPr lang="en-US" sz="1200" b="0" i="0">
                  <a:latin typeface="Cambria Math" panose="02040503050406030204" pitchFamily="18" charset="0"/>
                </a:rPr>
                <a:t>𝐺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кот.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3</xdr:col>
      <xdr:colOff>441463</xdr:colOff>
      <xdr:row>39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SpPr txBox="1"/>
          </xdr:nvSpPr>
          <xdr:spPr>
            <a:xfrm>
              <a:off x="2422663" y="7698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4" name="TextBox 63"/>
            <xdr:cNvSpPr txBox="1"/>
          </xdr:nvSpPr>
          <xdr:spPr>
            <a:xfrm>
              <a:off x="2422663" y="7698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14</xdr:col>
      <xdr:colOff>209551</xdr:colOff>
      <xdr:row>57</xdr:row>
      <xdr:rowOff>95250</xdr:rowOff>
    </xdr:from>
    <xdr:ext cx="10858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300-000041000000}"/>
                </a:ext>
              </a:extLst>
            </xdr:cNvPr>
            <xdr:cNvSpPr txBox="1"/>
          </xdr:nvSpPr>
          <xdr:spPr>
            <a:xfrm>
              <a:off x="8896351" y="11058525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ru-RU" sz="1200" b="0" i="1">
                        <a:latin typeface="Cambria Math"/>
                        <a:ea typeface="Cambria Math"/>
                      </a:rPr>
                      <m:t>∙Н</m:t>
                    </m:r>
                    <m:r>
                      <a:rPr lang="ru-RU" sz="12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8896351" y="11058525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/>
                </a:rPr>
                <a:t>Н_1=1/3</a:t>
              </a:r>
              <a:r>
                <a:rPr lang="ru-RU" sz="1200" b="0" i="0">
                  <a:latin typeface="Cambria Math"/>
                  <a:ea typeface="Cambria Math"/>
                </a:rPr>
                <a:t>∙Н=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14</xdr:col>
      <xdr:colOff>200026</xdr:colOff>
      <xdr:row>59</xdr:row>
      <xdr:rowOff>142875</xdr:rowOff>
    </xdr:from>
    <xdr:ext cx="10858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300-000042000000}"/>
                </a:ext>
              </a:extLst>
            </xdr:cNvPr>
            <xdr:cNvSpPr txBox="1"/>
          </xdr:nvSpPr>
          <xdr:spPr>
            <a:xfrm>
              <a:off x="8886826" y="11487150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num>
                      <m:den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ru-RU" sz="1200" b="0" i="1">
                        <a:latin typeface="Cambria Math"/>
                        <a:ea typeface="Cambria Math"/>
                      </a:rPr>
                      <m:t>∙Н=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6" name="TextBox 65"/>
            <xdr:cNvSpPr txBox="1"/>
          </xdr:nvSpPr>
          <xdr:spPr>
            <a:xfrm>
              <a:off x="8886826" y="11487150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/>
                </a:rPr>
                <a:t>Н_2=2/3</a:t>
              </a:r>
              <a:r>
                <a:rPr lang="ru-RU" sz="1200" b="0" i="0">
                  <a:latin typeface="Cambria Math"/>
                  <a:ea typeface="Cambria Math"/>
                </a:rPr>
                <a:t>∙Н=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123825</xdr:colOff>
      <xdr:row>56</xdr:row>
      <xdr:rowOff>104775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SpPr txBox="1"/>
          </xdr:nvSpPr>
          <xdr:spPr>
            <a:xfrm>
              <a:off x="123825" y="108775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р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=Н</m:t>
                    </m:r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н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ух.</m:t>
                            </m:r>
                          </m:sub>
                        </m:sSub>
                      </m:e>
                    </m:d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7" name="TextBox 66"/>
            <xdr:cNvSpPr txBox="1"/>
          </xdr:nvSpPr>
          <xdr:spPr>
            <a:xfrm>
              <a:off x="123825" y="10877550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_р=Н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∙(𝛾_н−𝛾_(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)</a:t>
              </a:r>
              <a:r>
                <a:rPr lang="ru-RU" sz="1200" b="0" i="0">
                  <a:latin typeface="Cambria Math"/>
                  <a:ea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180975</xdr:colOff>
      <xdr:row>66</xdr:row>
      <xdr:rowOff>133350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SpPr txBox="1"/>
          </xdr:nvSpPr>
          <xdr:spPr>
            <a:xfrm>
              <a:off x="180975" y="12811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изб3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изб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8" name="TextBox 67"/>
            <xdr:cNvSpPr txBox="1"/>
          </xdr:nvSpPr>
          <xdr:spPr>
            <a:xfrm>
              <a:off x="180975" y="1281112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_изб3=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533400</xdr:colOff>
      <xdr:row>75</xdr:row>
      <xdr:rowOff>46158</xdr:rowOff>
    </xdr:from>
    <xdr:ext cx="2533650" cy="7634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300-000045000000}"/>
                </a:ext>
              </a:extLst>
            </xdr:cNvPr>
            <xdr:cNvSpPr txBox="1"/>
          </xdr:nvSpPr>
          <xdr:spPr>
            <a:xfrm>
              <a:off x="1266825" y="1464798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аэр.ух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ad>
                          <m:radPr>
                            <m:degHide m:val="on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ух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𝜉</m:t>
                                    </m:r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в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69" name="TextBox 68"/>
            <xdr:cNvSpPr txBox="1"/>
          </xdr:nvSpPr>
          <xdr:spPr>
            <a:xfrm>
              <a:off x="1266825" y="1464798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 panose="02040503050406030204" pitchFamily="18" charset="0"/>
                </a:rPr>
                <a:t>_2</a:t>
              </a:r>
              <a:r>
                <a:rPr lang="ru-RU" sz="1200" b="0" i="0">
                  <a:latin typeface="Cambria Math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аэр.ух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∙√((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𝜉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в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341736</xdr:colOff>
      <xdr:row>36</xdr:row>
      <xdr:rowOff>176893</xdr:rowOff>
    </xdr:from>
    <xdr:to>
      <xdr:col>35</xdr:col>
      <xdr:colOff>304613</xdr:colOff>
      <xdr:row>49</xdr:row>
      <xdr:rowOff>63049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48736" y="7143750"/>
          <a:ext cx="3636806" cy="2362656"/>
        </a:xfrm>
        <a:prstGeom prst="rect">
          <a:avLst/>
        </a:prstGeom>
      </xdr:spPr>
    </xdr:pic>
    <xdr:clientData/>
  </xdr:twoCellAnchor>
  <xdr:oneCellAnchor>
    <xdr:from>
      <xdr:col>0</xdr:col>
      <xdr:colOff>123826</xdr:colOff>
      <xdr:row>3</xdr:row>
      <xdr:rowOff>160813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𝐻</m:t>
                  </m:r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3826" y="837088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38101</xdr:colOff>
      <xdr:row>4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изб.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101" y="10180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𝑄_(</a:t>
              </a:r>
              <a:r>
                <a:rPr lang="ru-RU" sz="1100" b="0" i="0">
                  <a:latin typeface="Cambria Math"/>
                </a:rPr>
                <a:t>изб.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6</xdr:row>
      <xdr:rowOff>160812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р.з.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5251" y="140858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р.з.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95251</xdr:colOff>
      <xdr:row>5</xdr:row>
      <xdr:rowOff>141762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н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5251" y="1199037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</a:t>
              </a:r>
              <a:r>
                <a:rPr lang="ru-RU" sz="1100" b="0" i="0">
                  <a:latin typeface="Cambria Math"/>
                </a:rPr>
                <a:t>н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117613</xdr:colOff>
      <xdr:row>29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17613" y="5793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40586</xdr:colOff>
      <xdr:row>33</xdr:row>
      <xdr:rowOff>152401</xdr:rowOff>
    </xdr:from>
    <xdr:ext cx="1981200" cy="2863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&lt;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д.в.</m:t>
                        </m:r>
                      </m:sub>
                    </m:sSub>
                    <m:r>
                      <a:rPr lang="ru-RU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10</m:t>
                    </m:r>
                    <m:r>
                      <m:rPr>
                        <m:sty m:val="p"/>
                      </m:rP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H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∙∆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0586" y="6543676"/>
              <a:ext cx="1981200" cy="2863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〗_(д.в.)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9525</xdr:colOff>
      <xdr:row>37</xdr:row>
      <xdr:rowOff>152400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&gt;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10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42950" y="7305675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&gt;</a:t>
              </a:r>
              <a:r>
                <a:rPr lang="en-US" sz="1200" b="0" i="0">
                  <a:latin typeface="Cambria Math"/>
                  <a:ea typeface="Cambria Math"/>
                </a:rPr>
                <a:t>10H∙∆𝛾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85725</xdr:colOff>
      <xdr:row>8</xdr:row>
      <xdr:rowOff>152400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д.в.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5725" y="178117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18</xdr:col>
      <xdr:colOff>175648</xdr:colOff>
      <xdr:row>32</xdr:row>
      <xdr:rowOff>186148</xdr:rowOff>
    </xdr:from>
    <xdr:to>
      <xdr:col>27</xdr:col>
      <xdr:colOff>308080</xdr:colOff>
      <xdr:row>50</xdr:row>
      <xdr:rowOff>177101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0848" y="6386923"/>
          <a:ext cx="5618832" cy="3419953"/>
        </a:xfrm>
        <a:prstGeom prst="rect">
          <a:avLst/>
        </a:prstGeom>
      </xdr:spPr>
    </xdr:pic>
    <xdr:clientData/>
  </xdr:twoCellAnchor>
  <xdr:oneCellAnchor>
    <xdr:from>
      <xdr:col>0</xdr:col>
      <xdr:colOff>121778</xdr:colOff>
      <xdr:row>9</xdr:row>
      <xdr:rowOff>149963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𝑣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21778" y="1969238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_(в.)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10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13496" y="21514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105214</xdr:colOff>
      <xdr:row>11</xdr:row>
      <xdr:rowOff>141680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5214" y="234195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95688</xdr:colOff>
      <xdr:row>14</xdr:row>
      <xdr:rowOff>122630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н.в.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688" y="2894405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н.в.)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105213</xdr:colOff>
      <xdr:row>15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в.в.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5213" y="31039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</a:rPr>
                <a:t>в.в.)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29</xdr:col>
      <xdr:colOff>517294</xdr:colOff>
      <xdr:row>5</xdr:row>
      <xdr:rowOff>29194</xdr:rowOff>
    </xdr:from>
    <xdr:to>
      <xdr:col>42</xdr:col>
      <xdr:colOff>590000</xdr:colOff>
      <xdr:row>25</xdr:row>
      <xdr:rowOff>163665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48094" y="1086469"/>
          <a:ext cx="7997506" cy="3944471"/>
        </a:xfrm>
        <a:prstGeom prst="rect">
          <a:avLst/>
        </a:prstGeom>
      </xdr:spPr>
    </xdr:pic>
    <xdr:clientData/>
  </xdr:twoCellAnchor>
  <xdr:oneCellAnchor>
    <xdr:from>
      <xdr:col>0</xdr:col>
      <xdr:colOff>638736</xdr:colOff>
      <xdr:row>48</xdr:row>
      <xdr:rowOff>55470</xdr:rowOff>
    </xdr:from>
    <xdr:ext cx="1994647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638736" y="930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38736" y="9304245"/>
              <a:ext cx="1994647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_(аэр.ух.)</a:t>
              </a:r>
              <a:r>
                <a:rPr lang="en-US" sz="1200" b="0" i="0">
                  <a:latin typeface="Cambria Math"/>
                </a:rPr>
                <a:t>=(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_н ) </a:t>
              </a:r>
              <a:r>
                <a:rPr lang="en-US" sz="1200" b="0" i="0">
                  <a:latin typeface="Cambria Math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21</xdr:col>
      <xdr:colOff>93765</xdr:colOff>
      <xdr:row>13</xdr:row>
      <xdr:rowOff>103290</xdr:rowOff>
    </xdr:from>
    <xdr:to>
      <xdr:col>24</xdr:col>
      <xdr:colOff>439754</xdr:colOff>
      <xdr:row>28</xdr:row>
      <xdr:rowOff>162792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02194" y="2688647"/>
          <a:ext cx="2182953" cy="2917002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7</xdr:row>
      <xdr:rowOff>151287</xdr:rowOff>
    </xdr:from>
    <xdr:ext cx="676274" cy="248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ух.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14301" y="1589562"/>
              <a:ext cx="676274" cy="248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𝑡_(</a:t>
              </a:r>
              <a:r>
                <a:rPr lang="ru-RU" sz="1100" b="0" i="0">
                  <a:latin typeface="Cambria Math"/>
                </a:rPr>
                <a:t>ух.</a:t>
              </a:r>
              <a:r>
                <a:rPr lang="en-US" sz="1100" b="0" i="0">
                  <a:latin typeface="Cambria Math"/>
                </a:rPr>
                <a:t>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twoCellAnchor editAs="oneCell">
    <xdr:from>
      <xdr:col>19</xdr:col>
      <xdr:colOff>174419</xdr:colOff>
      <xdr:row>4</xdr:row>
      <xdr:rowOff>164294</xdr:rowOff>
    </xdr:from>
    <xdr:to>
      <xdr:col>27</xdr:col>
      <xdr:colOff>432954</xdr:colOff>
      <xdr:row>12</xdr:row>
      <xdr:rowOff>45397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09219" y="1031069"/>
          <a:ext cx="5135335" cy="1405103"/>
        </a:xfrm>
        <a:prstGeom prst="rect">
          <a:avLst/>
        </a:prstGeom>
      </xdr:spPr>
    </xdr:pic>
    <xdr:clientData/>
  </xdr:twoCellAnchor>
  <xdr:oneCellAnchor>
    <xdr:from>
      <xdr:col>0</xdr:col>
      <xdr:colOff>152838</xdr:colOff>
      <xdr:row>18</xdr:row>
      <xdr:rowOff>141681</xdr:rowOff>
    </xdr:from>
    <xdr:ext cx="58102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/>
                        </a:rPr>
                        <m:t>С</m:t>
                      </m:r>
                    </m:e>
                    <m:sub>
                      <m:r>
                        <a:rPr lang="ru-RU" sz="1200" b="0" i="1">
                          <a:latin typeface="Cambria Math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52838" y="3675456"/>
              <a:ext cx="58102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b="0" i="0">
                  <a:latin typeface="Cambria Math"/>
                </a:rPr>
                <a:t>С_в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16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14738" y="3294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12</xdr:row>
      <xdr:rowOff>141680</xdr:rowOff>
    </xdr:from>
    <xdr:ext cx="581025" cy="2937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р</m:t>
                      </m:r>
                      <m:r>
                        <a:rPr lang="ru-RU" sz="1200" b="0" i="1">
                          <a:latin typeface="Cambria Math"/>
                        </a:rPr>
                        <m:t>.з.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13496" y="2532455"/>
              <a:ext cx="5810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р</a:t>
              </a:r>
              <a:r>
                <a:rPr lang="ru-RU" sz="1200" b="0" i="0">
                  <a:latin typeface="Cambria Math"/>
                </a:rPr>
                <a:t>.з.)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113496</xdr:colOff>
      <xdr:row>13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𝜌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13496" y="2722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𝜌_(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114738</xdr:colOff>
      <xdr:row>17</xdr:row>
      <xdr:rowOff>141680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ух</m:t>
                      </m:r>
                      <m:r>
                        <a:rPr lang="ru-RU" sz="1200" b="0" i="1">
                          <a:latin typeface="Cambria Math"/>
                        </a:rPr>
                        <m:t>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114738" y="3484955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𝛾_(</a:t>
              </a:r>
              <a:r>
                <a:rPr lang="ru-RU" sz="1200" b="0" i="0">
                  <a:latin typeface="Cambria Math"/>
                  <a:ea typeface="Cambria Math"/>
                </a:rPr>
                <a:t>ух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123826</xdr:colOff>
      <xdr:row>2</xdr:row>
      <xdr:rowOff>0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1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23826" y="485775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𝐻_</a:t>
              </a:r>
              <a:r>
                <a:rPr lang="ru-RU" sz="1100" b="0" i="0">
                  <a:latin typeface="Cambria Math"/>
                </a:rPr>
                <a:t>1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114301</xdr:colOff>
      <xdr:row>2</xdr:row>
      <xdr:rowOff>170338</xdr:rowOff>
    </xdr:from>
    <xdr:ext cx="73342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𝐻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14301" y="656113"/>
              <a:ext cx="73342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𝐻_2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63</xdr:row>
      <xdr:rowOff>133350</xdr:rowOff>
    </xdr:from>
    <xdr:ext cx="2171700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 txBox="1"/>
          </xdr:nvSpPr>
          <xdr:spPr>
            <a:xfrm>
              <a:off x="0" y="12239625"/>
              <a:ext cx="217170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Н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н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</m:t>
                            </m:r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</m:t>
                            </m:r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</m:sub>
                        </m:sSub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0" y="12239625"/>
              <a:ext cx="217170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_изб1=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Н〗_1∙(𝛾_н−𝛾_(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161925</xdr:colOff>
      <xdr:row>65</xdr:row>
      <xdr:rowOff>114300</xdr:rowOff>
    </xdr:from>
    <xdr:ext cx="1885951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 txBox="1"/>
          </xdr:nvSpPr>
          <xdr:spPr>
            <a:xfrm>
              <a:off x="161925" y="126015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</m:t>
                        </m:r>
                        <m:r>
                          <a:rPr lang="en-US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Н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н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в.в.</m:t>
                            </m:r>
                          </m:sub>
                        </m:sSub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61925" y="12601575"/>
              <a:ext cx="1885951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</a:t>
              </a:r>
              <a:r>
                <a:rPr lang="en-US" sz="1200" b="0" i="0">
                  <a:latin typeface="Cambria Math"/>
                </a:rPr>
                <a:t>2</a:t>
              </a:r>
              <a:r>
                <a:rPr lang="ru-RU" sz="1200" b="0" i="0">
                  <a:latin typeface="Cambria Math"/>
                </a:rPr>
                <a:t>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Н_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∙(𝛾_н−𝛾_(в.в.)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19050</xdr:colOff>
      <xdr:row>67</xdr:row>
      <xdr:rowOff>133350</xdr:rowOff>
    </xdr:from>
    <xdr:ext cx="2028825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 txBox="1"/>
          </xdr:nvSpPr>
          <xdr:spPr>
            <a:xfrm>
              <a:off x="19050" y="13001625"/>
              <a:ext cx="202882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изб3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Н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н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в.в.</m:t>
                            </m:r>
                          </m:sub>
                        </m:sSub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>
                <a:effectLst/>
              </a:endParaRPr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9050" y="13001625"/>
              <a:ext cx="2028825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_изб3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=Н_2∙(𝛾_н−𝛾_(в.в.) )=</a:t>
              </a:r>
              <a:endParaRPr lang="ru-RU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133788</xdr:colOff>
      <xdr:row>19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𝐺</m:t>
                      </m:r>
                    </m:e>
                    <m:sub>
                      <m:r>
                        <a:rPr lang="ru-RU" sz="1200" b="0" i="1">
                          <a:latin typeface="Cambria Math"/>
                          <a:ea typeface="Cambria Math"/>
                        </a:rPr>
                        <m:t>кот.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33788" y="38469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ru-RU" sz="1200" b="0" i="0">
                  <a:latin typeface="Cambria Math"/>
                  <a:ea typeface="Cambria Math"/>
                </a:rPr>
                <a:t>кот.)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438151</xdr:colOff>
      <xdr:row>48</xdr:row>
      <xdr:rowOff>57150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3638551" y="930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аэр.ух.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аэр.ух.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ух.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3638551" y="9305925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/>
                </a:rPr>
                <a:t>_(аэр.ух.)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аэр.ух.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</a:t>
              </a:r>
              <a:r>
                <a:rPr lang="ru-RU" sz="1200" b="0" i="0">
                  <a:latin typeface="Cambria Math"/>
                  <a:ea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ух.</a:t>
              </a:r>
              <a:r>
                <a:rPr lang="ru-RU" sz="1200" b="0" i="0">
                  <a:latin typeface="Cambria Math"/>
                </a:rPr>
                <a:t>) 〗_.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5</xdr:col>
      <xdr:colOff>439832</xdr:colOff>
      <xdr:row>51</xdr:row>
      <xdr:rowOff>58831</xdr:rowOff>
    </xdr:from>
    <xdr:ext cx="1533524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3640232" y="987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аэр.пр.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 panose="02040503050406030204" pitchFamily="18" charset="0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en-US" sz="12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3640232" y="9879106"/>
              <a:ext cx="1533524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ru-RU" sz="1200" b="0" i="0">
                  <a:latin typeface="Cambria Math"/>
                </a:rPr>
                <a:t>_(аэр.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 b="0" i="0">
                  <a:latin typeface="Cambria Math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аэр.пр.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</a:t>
              </a:r>
              <a:r>
                <a:rPr lang="ru-RU" sz="1200" b="0" i="0">
                  <a:latin typeface="Cambria Math"/>
                  <a:ea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пр.</a:t>
              </a:r>
              <a:r>
                <a:rPr lang="ru-RU" sz="1200" b="0" i="0">
                  <a:latin typeface="Cambria Math"/>
                </a:rPr>
                <a:t>) 〗_.</a:t>
              </a:r>
              <a:r>
                <a:rPr lang="en-US" sz="1200" b="0" i="0">
                  <a:latin typeface="Cambria Math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200025</xdr:colOff>
      <xdr:row>85</xdr:row>
      <xdr:rowOff>36633</xdr:rowOff>
    </xdr:from>
    <xdr:ext cx="2533650" cy="7634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200025" y="16143408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аэр.пр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ср.в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пр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пр.</m:t>
                            </m:r>
                          </m:sub>
                        </m:sSub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200025" y="16143408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/>
                </a:rPr>
                <a:t>_1+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аэр.пр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ср.в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𝜇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_пр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𝜌_(пр.)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164052</xdr:colOff>
      <xdr:row>22</xdr:row>
      <xdr:rowOff>122631</xdr:rowOff>
    </xdr:from>
    <xdr:ext cx="5810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64052" y="4418406"/>
              <a:ext cx="5810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163096</xdr:colOff>
      <xdr:row>23</xdr:row>
      <xdr:rowOff>115304</xdr:rowOff>
    </xdr:from>
    <xdr:ext cx="581025" cy="294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𝜇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у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63096" y="4601579"/>
              <a:ext cx="581025" cy="294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180617</xdr:colOff>
      <xdr:row>20</xdr:row>
      <xdr:rowOff>122631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80617" y="4037406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172335</xdr:colOff>
      <xdr:row>21</xdr:row>
      <xdr:rowOff>114348</xdr:rowOff>
    </xdr:from>
    <xdr:ext cx="581025" cy="319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𝜉</m:t>
                      </m:r>
                      <m:r>
                        <a:rPr lang="el-GR" sz="12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в</m:t>
                      </m:r>
                    </m:sub>
                  </m:sSub>
                </m:oMath>
              </a14:m>
              <a:r>
                <a:rPr lang="en-US" sz="1200"/>
                <a:t>=</a:t>
              </a:r>
              <a:endParaRPr lang="ru-RU" sz="12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172335" y="4219623"/>
              <a:ext cx="581025" cy="31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200" i="0">
                  <a:latin typeface="Cambria Math"/>
                </a:rPr>
                <a:t>〖</a:t>
              </a:r>
              <a:r>
                <a:rPr lang="el-GR" sz="12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𝜉 </a:t>
              </a:r>
              <a:r>
                <a:rPr lang="ru-RU" sz="1200" i="0">
                  <a:latin typeface="Cambria Math"/>
                  <a:ea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в</a:t>
              </a:r>
              <a:r>
                <a:rPr lang="en-US" sz="1200"/>
                <a:t>=</a:t>
              </a:r>
              <a:endParaRPr lang="ru-RU" sz="1200"/>
            </a:p>
          </xdr:txBody>
        </xdr:sp>
      </mc:Fallback>
    </mc:AlternateContent>
    <xdr:clientData/>
  </xdr:oneCellAnchor>
  <xdr:twoCellAnchor editAs="oneCell">
    <xdr:from>
      <xdr:col>17</xdr:col>
      <xdr:colOff>612074</xdr:colOff>
      <xdr:row>70</xdr:row>
      <xdr:rowOff>74097</xdr:rowOff>
    </xdr:from>
    <xdr:to>
      <xdr:col>29</xdr:col>
      <xdr:colOff>263961</xdr:colOff>
      <xdr:row>74</xdr:row>
      <xdr:rowOff>169467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27674" y="12942372"/>
          <a:ext cx="6967087" cy="8573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127413</xdr:colOff>
      <xdr:row>85</xdr:row>
      <xdr:rowOff>0</xdr:rowOff>
    </xdr:from>
    <xdr:to>
      <xdr:col>29</xdr:col>
      <xdr:colOff>358964</xdr:colOff>
      <xdr:row>93</xdr:row>
      <xdr:rowOff>124055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52613" y="15535275"/>
          <a:ext cx="6937151" cy="1648055"/>
        </a:xfrm>
        <a:prstGeom prst="rect">
          <a:avLst/>
        </a:prstGeom>
      </xdr:spPr>
    </xdr:pic>
    <xdr:clientData/>
  </xdr:twoCellAnchor>
  <xdr:twoCellAnchor>
    <xdr:from>
      <xdr:col>15</xdr:col>
      <xdr:colOff>588818</xdr:colOff>
      <xdr:row>7</xdr:row>
      <xdr:rowOff>121226</xdr:rowOff>
    </xdr:from>
    <xdr:to>
      <xdr:col>18</xdr:col>
      <xdr:colOff>588818</xdr:colOff>
      <xdr:row>9</xdr:row>
      <xdr:rowOff>103908</xdr:rowOff>
    </xdr:to>
    <xdr:sp macro="" textlink="">
      <xdr:nvSpPr>
        <xdr:cNvPr id="42" name="Стрелка влево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9885218" y="1559501"/>
          <a:ext cx="1828800" cy="36368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408214</xdr:colOff>
      <xdr:row>72</xdr:row>
      <xdr:rowOff>13607</xdr:rowOff>
    </xdr:from>
    <xdr:to>
      <xdr:col>17</xdr:col>
      <xdr:colOff>408214</xdr:colOff>
      <xdr:row>73</xdr:row>
      <xdr:rowOff>0</xdr:rowOff>
    </xdr:to>
    <xdr:sp macro="" textlink="">
      <xdr:nvSpPr>
        <xdr:cNvPr id="43" name="Стрелка влево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095014" y="13262882"/>
          <a:ext cx="1828800" cy="17689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0</xdr:colOff>
      <xdr:row>51</xdr:row>
      <xdr:rowOff>44263</xdr:rowOff>
    </xdr:from>
    <xdr:ext cx="2667000" cy="621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400-00002C000000}"/>
                </a:ext>
              </a:extLst>
            </xdr:cNvPr>
            <xdr:cNvSpPr txBox="1"/>
          </xdr:nvSpPr>
          <xdr:spPr>
            <a:xfrm>
              <a:off x="0" y="986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ru-RU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ru-RU" sz="1200" b="0" i="1">
                                <a:latin typeface="Cambria Math"/>
                              </a:rPr>
                              <m:t>аэр.</m:t>
                            </m:r>
                            <m:r>
                              <a:rPr lang="ru-RU" sz="1200" b="0" i="1">
                                <a:latin typeface="Cambria Math" panose="02040503050406030204" pitchFamily="18" charset="0"/>
                              </a:rPr>
                              <m:t>пр</m:t>
                            </m:r>
                            <m:r>
                              <a:rPr lang="ru-RU" sz="1200" b="0" i="1">
                                <a:latin typeface="Cambria Math"/>
                              </a:rPr>
                              <m:t>.</m:t>
                            </m:r>
                          </m:sub>
                        </m:sSub>
                        <m:r>
                          <a:rPr lang="en-US" sz="1200" b="0" i="1">
                            <a:latin typeface="Cambria Math"/>
                          </a:rPr>
                          <m:t>=</m:t>
                        </m:r>
                        <m:f>
                          <m:f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ru-RU" sz="1200" b="0" i="1">
                                <a:latin typeface="Cambria Math"/>
                              </a:rPr>
                              <m:t>3,6</m:t>
                            </m:r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изб.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ru-RU" sz="1200" b="0" i="1">
                                    <a:latin typeface="Cambria Math"/>
                                  </a:rPr>
                                  <m:t>С</m:t>
                                </m:r>
                              </m:e>
                              <m:sub>
                                <m:r>
                                  <a:rPr lang="ru-RU" sz="1200" b="0" i="1">
                                    <a:latin typeface="Cambria Math"/>
                                  </a:rPr>
                                  <m:t>в</m:t>
                                </m:r>
                              </m:sub>
                            </m:sSub>
                            <m:r>
                              <a:rPr lang="ru-RU" sz="1200" b="0" i="1"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ru-RU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ух</m:t>
                                    </m:r>
                                  </m:sub>
                                </m:sSub>
                                <m:r>
                                  <a:rPr lang="ru-RU" sz="1200" b="0" i="1">
                                    <a:latin typeface="Cambria Math"/>
                                    <a:ea typeface="Cambria Math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ru-RU" sz="1200" b="0" i="1">
                                        <a:latin typeface="Cambria Math" panose="02040503050406030204" pitchFamily="18" charset="0"/>
                                        <a:ea typeface="Cambria Math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200" b="0" i="1">
                                        <a:latin typeface="Cambria Math"/>
                                        <a:ea typeface="Cambria Math"/>
                                      </a:rPr>
                                      <m:t>𝑡</m:t>
                                    </m:r>
                                  </m:e>
                                  <m:sub>
                                    <m:r>
                                      <a:rPr lang="ru-RU" sz="1200" b="0" i="1">
                                        <a:latin typeface="Cambria Math"/>
                                        <a:ea typeface="Cambria Math"/>
                                      </a:rPr>
                                      <m:t>н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ru-RU" sz="1200" b="0" i="1">
                            <a:latin typeface="Cambria Math" panose="02040503050406030204" pitchFamily="18" charset="0"/>
                          </a:rPr>
                          <m:t>кот.</m:t>
                        </m:r>
                      </m:sub>
                    </m:sSub>
                    <m:r>
                      <a:rPr lang="ru-RU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ru-RU" sz="1200" b="0" i="1">
                        <a:latin typeface="Cambria Math" panose="02040503050406030204" pitchFamily="18" charset="0"/>
                      </a:rPr>
                      <m:t>4</m:t>
                    </m:r>
                    <m:r>
                      <a:rPr lang="ru-RU" sz="1200" b="0" i="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0" y="9864538"/>
              <a:ext cx="2667000" cy="621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</a:rPr>
                <a:t>〖</a:t>
              </a:r>
              <a:r>
                <a:rPr lang="en-US" sz="1200" b="0" i="0">
                  <a:latin typeface="Cambria Math"/>
                </a:rPr>
                <a:t>𝐺</a:t>
              </a:r>
              <a:r>
                <a:rPr lang="ru-RU" sz="1200" b="0" i="0">
                  <a:latin typeface="Cambria Math"/>
                </a:rPr>
                <a:t>_(аэр.</a:t>
              </a:r>
              <a:r>
                <a:rPr lang="ru-RU" sz="1200" b="0" i="0">
                  <a:latin typeface="Cambria Math" panose="02040503050406030204" pitchFamily="18" charset="0"/>
                </a:rPr>
                <a:t>пр</a:t>
              </a:r>
              <a:r>
                <a:rPr lang="ru-RU" sz="1200" b="0" i="0">
                  <a:latin typeface="Cambria Math"/>
                </a:rPr>
                <a:t>.)</a:t>
              </a:r>
              <a:r>
                <a:rPr lang="en-US" sz="1200" b="0" i="0">
                  <a:latin typeface="Cambria Math"/>
                </a:rPr>
                <a:t>=(</a:t>
              </a:r>
              <a:r>
                <a:rPr lang="ru-RU" sz="1200" b="0" i="0">
                  <a:latin typeface="Cambria Math"/>
                </a:rPr>
                <a:t>3,6</a:t>
              </a:r>
              <a:r>
                <a:rPr lang="ru-RU" sz="1200" b="0" i="0">
                  <a:latin typeface="Cambria Math"/>
                  <a:ea typeface="Cambria Math"/>
                </a:rPr>
                <a:t>∙</a:t>
              </a:r>
              <a:r>
                <a:rPr lang="en-US" sz="1200" b="0" i="0">
                  <a:latin typeface="Cambria Math"/>
                </a:rPr>
                <a:t>𝑄_(</a:t>
              </a:r>
              <a:r>
                <a:rPr lang="ru-RU" sz="1200" b="0" i="0">
                  <a:latin typeface="Cambria Math"/>
                </a:rPr>
                <a:t>изб.</a:t>
              </a:r>
              <a:r>
                <a:rPr lang="en-US" sz="1200" b="0" i="0">
                  <a:latin typeface="Cambria Math"/>
                </a:rPr>
                <a:t>))/(</a:t>
              </a:r>
              <a:r>
                <a:rPr lang="ru-RU" sz="1200" b="0" i="0">
                  <a:latin typeface="Cambria Math"/>
                </a:rPr>
                <a:t>С</a:t>
              </a:r>
              <a:r>
                <a:rPr lang="en-US" sz="1200" b="0" i="0">
                  <a:latin typeface="Cambria Math"/>
                </a:rPr>
                <a:t>_</a:t>
              </a:r>
              <a:r>
                <a:rPr lang="ru-RU" sz="1200" b="0" i="0">
                  <a:latin typeface="Cambria Math"/>
                </a:rPr>
                <a:t>в</a:t>
              </a:r>
              <a:r>
                <a:rPr lang="ru-RU" sz="1200" b="0" i="0">
                  <a:latin typeface="Cambria Math"/>
                  <a:ea typeface="Cambria Math"/>
                </a:rPr>
                <a:t>∙(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_ух−</a:t>
              </a:r>
              <a:r>
                <a:rPr lang="en-US" sz="1200" b="0" i="0">
                  <a:latin typeface="Cambria Math"/>
                  <a:ea typeface="Cambria Math"/>
                </a:rPr>
                <a:t>𝑡</a:t>
              </a:r>
              <a:r>
                <a:rPr lang="ru-RU" sz="1200" b="0" i="0">
                  <a:latin typeface="Cambria Math"/>
                  <a:ea typeface="Cambria Math"/>
                </a:rPr>
                <a:t>_н ) </a:t>
              </a:r>
              <a:r>
                <a:rPr lang="en-US" sz="1200" b="0" i="0">
                  <a:latin typeface="Cambria Math"/>
                  <a:ea typeface="Cambria Math"/>
                </a:rPr>
                <a:t>)</a:t>
              </a:r>
              <a:r>
                <a:rPr lang="ru-RU" sz="1200" b="0" i="0">
                  <a:latin typeface="Cambria Math"/>
                  <a:ea typeface="Cambria Math"/>
                </a:rPr>
                <a:t>〗_</a:t>
              </a:r>
              <a:r>
                <a:rPr lang="ru-RU" sz="1200" b="0" i="0">
                  <a:latin typeface="Cambria Math"/>
                </a:rPr>
                <a:t>.</a:t>
              </a:r>
              <a:r>
                <a:rPr lang="ru-RU" sz="1200" b="0" i="0">
                  <a:latin typeface="Cambria Math" panose="02040503050406030204" pitchFamily="18" charset="0"/>
                </a:rPr>
                <a:t>+</a:t>
              </a:r>
              <a:r>
                <a:rPr lang="en-US" sz="1200" b="0" i="0">
                  <a:latin typeface="Cambria Math" panose="02040503050406030204" pitchFamily="18" charset="0"/>
                </a:rPr>
                <a:t>𝐺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кот.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ru-RU" sz="1200" b="0" i="0">
                  <a:latin typeface="Cambria Math" panose="02040503050406030204" pitchFamily="18" charset="0"/>
                </a:rPr>
                <a:t>4=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3</xdr:col>
      <xdr:colOff>441463</xdr:colOff>
      <xdr:row>39</xdr:row>
      <xdr:rowOff>163995</xdr:rowOff>
    </xdr:from>
    <xdr:ext cx="1257300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 txBox="1"/>
          </xdr:nvSpPr>
          <xdr:spPr>
            <a:xfrm>
              <a:off x="2422663" y="7698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д.в.</m:t>
                        </m:r>
                      </m:sub>
                    </m:sSub>
                    <m:r>
                      <a:rPr lang="ru-RU" sz="1200" i="1">
                        <a:latin typeface="Cambria Math"/>
                        <a:ea typeface="Cambria Math"/>
                      </a:rPr>
                      <m:t>&lt;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0,5</m:t>
                    </m:r>
                    <m:r>
                      <m:rPr>
                        <m:sty m:val="p"/>
                      </m:rPr>
                      <a:rPr lang="en-US" sz="1200" b="0" i="0">
                        <a:latin typeface="Cambria Math"/>
                        <a:ea typeface="Cambria Math"/>
                      </a:rPr>
                      <m:t>H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∙∆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𝛾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2422663" y="7698270"/>
              <a:ext cx="1257300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_(д.в.)</a:t>
              </a:r>
              <a:r>
                <a:rPr lang="ru-RU" sz="1200" i="0">
                  <a:latin typeface="Cambria Math"/>
                  <a:ea typeface="Cambria Math"/>
                </a:rPr>
                <a:t>&lt;</a:t>
              </a:r>
              <a:r>
                <a:rPr lang="ru-RU" sz="1200" b="0" i="0">
                  <a:latin typeface="Cambria Math"/>
                  <a:ea typeface="Cambria Math"/>
                </a:rPr>
                <a:t>0,5</a:t>
              </a:r>
              <a:r>
                <a:rPr lang="en-US" sz="1200" b="0" i="0">
                  <a:latin typeface="Cambria Math"/>
                  <a:ea typeface="Cambria Math"/>
                </a:rPr>
                <a:t>H∙∆𝛾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304801</xdr:colOff>
      <xdr:row>57</xdr:row>
      <xdr:rowOff>66675</xdr:rowOff>
    </xdr:from>
    <xdr:ext cx="10858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 txBox="1"/>
          </xdr:nvSpPr>
          <xdr:spPr>
            <a:xfrm>
              <a:off x="304801" y="10839450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ru-RU" sz="1200" b="0" i="1">
                        <a:latin typeface="Cambria Math"/>
                        <a:ea typeface="Cambria Math"/>
                      </a:rPr>
                      <m:t>∙Н</m:t>
                    </m:r>
                    <m:r>
                      <a:rPr lang="ru-RU" sz="12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304801" y="10839450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/>
                </a:rPr>
                <a:t>Н_1=1/3</a:t>
              </a:r>
              <a:r>
                <a:rPr lang="ru-RU" sz="1200" b="0" i="0">
                  <a:latin typeface="Cambria Math"/>
                  <a:ea typeface="Cambria Math"/>
                </a:rPr>
                <a:t>∙Н=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314326</xdr:colOff>
      <xdr:row>59</xdr:row>
      <xdr:rowOff>57150</xdr:rowOff>
    </xdr:from>
    <xdr:ext cx="10858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 txBox="1"/>
          </xdr:nvSpPr>
          <xdr:spPr>
            <a:xfrm>
              <a:off x="314326" y="11210925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200" b="0" i="1">
                            <a:latin typeface="Cambria Math"/>
                          </a:rPr>
                          <m:t>Н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num>
                      <m:den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ru-RU" sz="1200" b="0" i="1">
                        <a:latin typeface="Cambria Math"/>
                        <a:ea typeface="Cambria Math"/>
                      </a:rPr>
                      <m:t>∙Н=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314326" y="11210925"/>
              <a:ext cx="108585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b="0" i="0">
                  <a:latin typeface="Cambria Math"/>
                </a:rPr>
                <a:t>Н_2=2/3</a:t>
              </a:r>
              <a:r>
                <a:rPr lang="ru-RU" sz="1200" b="0" i="0">
                  <a:latin typeface="Cambria Math"/>
                  <a:ea typeface="Cambria Math"/>
                </a:rPr>
                <a:t>∙Н=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76200</xdr:colOff>
      <xdr:row>69</xdr:row>
      <xdr:rowOff>133350</xdr:rowOff>
    </xdr:from>
    <xdr:ext cx="2038350" cy="30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SpPr txBox="1"/>
          </xdr:nvSpPr>
          <xdr:spPr>
            <a:xfrm>
              <a:off x="76200" y="13382625"/>
              <a:ext cx="203835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∆</m:t>
                    </m:r>
                    <m:sSub>
                      <m:sSubPr>
                        <m:ctrlPr>
                          <a:rPr lang="ru-RU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изб4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−Н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н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в.в.</m:t>
                            </m:r>
                          </m:sub>
                        </m:sSub>
                      </m:e>
                    </m: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76200" y="13382625"/>
              <a:ext cx="2038350" cy="30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∆</a:t>
              </a:r>
              <a:r>
                <a:rPr lang="en-US" sz="1200" b="0" i="0">
                  <a:latin typeface="Cambria Math"/>
                </a:rPr>
                <a:t>𝑃</a:t>
              </a:r>
              <a:r>
                <a:rPr lang="ru-RU" sz="1200" b="0" i="0">
                  <a:latin typeface="Cambria Math"/>
                </a:rPr>
                <a:t>_изб4=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〖−Н〗_1∙(𝛾_н−𝛾_(в.в.) )=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16</xdr:col>
      <xdr:colOff>485775</xdr:colOff>
      <xdr:row>64</xdr:row>
      <xdr:rowOff>74733</xdr:rowOff>
    </xdr:from>
    <xdr:ext cx="2533650" cy="7634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400-000032000000}"/>
                </a:ext>
              </a:extLst>
            </xdr:cNvPr>
            <xdr:cNvSpPr txBox="1"/>
          </xdr:nvSpPr>
          <xdr:spPr>
            <a:xfrm>
              <a:off x="10391775" y="12371508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аэр.ух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ad>
                          <m:radPr>
                            <m:degHide m:val="on"/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ru-RU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ух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𝜉</m:t>
                                    </m:r>
                                    <m: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в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10391775" y="12371508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/>
                </a:rPr>
                <a:t>_1+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аэр.ух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√((2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𝜉 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28575</xdr:colOff>
      <xdr:row>75</xdr:row>
      <xdr:rowOff>171450</xdr:rowOff>
    </xdr:from>
    <xdr:ext cx="1533524" cy="742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 txBox="1"/>
          </xdr:nvSpPr>
          <xdr:spPr>
            <a:xfrm>
              <a:off x="28575" y="1456372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2∙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Cambria Math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изб1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=</m:t>
                        </m:r>
                      </m:e>
                    </m:rad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28575" y="1456372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1</a:t>
              </a:r>
              <a:r>
                <a:rPr lang="ru-RU" sz="1200" b="0" i="0">
                  <a:latin typeface="Cambria Math"/>
                  <a:ea typeface="Cambria Math"/>
                </a:rPr>
                <a:t>=√((</a:t>
              </a:r>
              <a:r>
                <a:rPr lang="en-US" sz="1200" b="0" i="0">
                  <a:latin typeface="Cambria Math"/>
                  <a:ea typeface="Cambria Math"/>
                </a:rPr>
                <a:t>2∙|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〗_изб1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|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𝜌_(пр.)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</a:t>
              </a:r>
              <a:r>
                <a:rPr lang="en-US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/>
                  <a:ea typeface="Cambria Math"/>
                </a:rPr>
                <a:t>)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28575</xdr:colOff>
      <xdr:row>79</xdr:row>
      <xdr:rowOff>152400</xdr:rowOff>
    </xdr:from>
    <xdr:ext cx="1533524" cy="742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400-000034000000}"/>
                </a:ext>
              </a:extLst>
            </xdr:cNvPr>
            <xdr:cNvSpPr txBox="1"/>
          </xdr:nvSpPr>
          <xdr:spPr>
            <a:xfrm>
              <a:off x="28575" y="1530667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2∙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Cambria Math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ух</m:t>
                                </m:r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</m:sub>
                            </m:sSub>
                          </m:den>
                        </m:f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=</m:t>
                        </m:r>
                      </m:e>
                    </m:rad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28575" y="1530667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_3</a:t>
              </a:r>
              <a:r>
                <a:rPr lang="ru-RU" sz="1200" b="0" i="0">
                  <a:latin typeface="Cambria Math"/>
                  <a:ea typeface="Cambria Math"/>
                </a:rPr>
                <a:t>=√((</a:t>
              </a:r>
              <a:r>
                <a:rPr lang="en-US" sz="1200" b="0" i="0">
                  <a:latin typeface="Cambria Math"/>
                  <a:ea typeface="Cambria Math"/>
                </a:rPr>
                <a:t>2∙|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|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</a:t>
              </a:r>
              <a:r>
                <a:rPr lang="en-US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/>
                  <a:ea typeface="Cambria Math"/>
                </a:rPr>
                <a:t>)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4</xdr:col>
      <xdr:colOff>219075</xdr:colOff>
      <xdr:row>75</xdr:row>
      <xdr:rowOff>161925</xdr:rowOff>
    </xdr:from>
    <xdr:ext cx="1533524" cy="742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SpPr txBox="1"/>
          </xdr:nvSpPr>
          <xdr:spPr>
            <a:xfrm>
              <a:off x="2809875" y="14554200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2∙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Cambria Math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ух</m:t>
                                </m:r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</m:sub>
                            </m:sSub>
                          </m:den>
                        </m:f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=</m:t>
                        </m:r>
                      </m:e>
                    </m:rad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2809875" y="14554200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_2</a:t>
              </a:r>
              <a:r>
                <a:rPr lang="ru-RU" sz="1200" b="0" i="0">
                  <a:latin typeface="Cambria Math"/>
                  <a:ea typeface="Cambria Math"/>
                </a:rPr>
                <a:t>=√((</a:t>
              </a:r>
              <a:r>
                <a:rPr lang="en-US" sz="1200" b="0" i="0">
                  <a:latin typeface="Cambria Math"/>
                  <a:ea typeface="Cambria Math"/>
                </a:rPr>
                <a:t>2∙|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|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</a:t>
              </a:r>
              <a:r>
                <a:rPr lang="en-US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/>
                  <a:ea typeface="Cambria Math"/>
                </a:rPr>
                <a:t>)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4</xdr:col>
      <xdr:colOff>219075</xdr:colOff>
      <xdr:row>79</xdr:row>
      <xdr:rowOff>152400</xdr:rowOff>
    </xdr:from>
    <xdr:ext cx="1533524" cy="742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400-000036000000}"/>
                </a:ext>
              </a:extLst>
            </xdr:cNvPr>
            <xdr:cNvSpPr txBox="1"/>
          </xdr:nvSpPr>
          <xdr:spPr>
            <a:xfrm>
              <a:off x="2809875" y="1530667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𝑣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ru-RU" sz="1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ru-RU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2∙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ru-RU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Cambria Math"/>
                                        <a:cs typeface="+mn-cs"/>
                                      </a:rPr>
                                      <m:t>∆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e>
                                  <m:sub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изб</m:t>
                                    </m:r>
                                    <m:r>
                                      <a:rPr lang="ru-RU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sub>
                                </m:sSub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пр.</m:t>
                                </m:r>
                              </m:sub>
                            </m:sSub>
                          </m:den>
                        </m:f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=</m:t>
                        </m:r>
                      </m:e>
                    </m:rad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2809875" y="15306675"/>
              <a:ext cx="1533524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/>
                </a:rPr>
                <a:t>𝑣</a:t>
              </a:r>
              <a:r>
                <a:rPr lang="ru-RU" sz="1200" b="0" i="0">
                  <a:latin typeface="Cambria Math"/>
                </a:rPr>
                <a:t>_4</a:t>
              </a:r>
              <a:r>
                <a:rPr lang="ru-RU" sz="1200" b="0" i="0">
                  <a:latin typeface="Cambria Math"/>
                  <a:ea typeface="Cambria Math"/>
                </a:rPr>
                <a:t>=√((</a:t>
              </a:r>
              <a:r>
                <a:rPr lang="en-US" sz="1200" b="0" i="0">
                  <a:latin typeface="Cambria Math"/>
                  <a:ea typeface="Cambria Math"/>
                </a:rPr>
                <a:t>2∙|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〗_изб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|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𝜌_(пр.)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</a:t>
              </a:r>
              <a:r>
                <a:rPr lang="en-US" sz="1200" b="0" i="0">
                  <a:latin typeface="Cambria Math"/>
                  <a:ea typeface="Cambria Math"/>
                </a:rPr>
                <a:t>=</a:t>
              </a:r>
              <a:r>
                <a:rPr lang="ru-RU" sz="1200" b="0" i="0">
                  <a:latin typeface="Cambria Math"/>
                  <a:ea typeface="Cambria Math"/>
                </a:rPr>
                <a:t>)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0</xdr:col>
      <xdr:colOff>200025</xdr:colOff>
      <xdr:row>88</xdr:row>
      <xdr:rowOff>27108</xdr:rowOff>
    </xdr:from>
    <xdr:ext cx="2533650" cy="7634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 txBox="1"/>
          </xdr:nvSpPr>
          <xdr:spPr>
            <a:xfrm>
              <a:off x="200025" y="1670538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ru-RU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ru-RU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аэр.ух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ср.в</m:t>
                            </m:r>
                          </m:sub>
                        </m:sSub>
                      </m:num>
                      <m:den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  <m:t>ух</m:t>
                            </m:r>
                          </m:sub>
                        </m:s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𝑣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ух</m:t>
                            </m:r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</m:sub>
                        </m:sSub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200025" y="16705383"/>
              <a:ext cx="2533650" cy="7634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𝐹</a:t>
              </a:r>
              <a:r>
                <a:rPr lang="ru-RU" sz="1200" b="0" i="0">
                  <a:latin typeface="Cambria Math"/>
                </a:rPr>
                <a:t>_2+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аэр.ух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∙𝜌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ср.в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3600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𝜇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_ух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ru-RU" sz="12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152400</xdr:rowOff>
    </xdr:from>
    <xdr:ext cx="7143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0" y="342900"/>
              <a:ext cx="7143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пола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342900"/>
              <a:ext cx="7143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_пола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180975</xdr:colOff>
      <xdr:row>36</xdr:row>
      <xdr:rowOff>9525</xdr:rowOff>
    </xdr:from>
    <xdr:ext cx="1533524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180975" y="1533525"/>
              <a:ext cx="1533524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𝐾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п.р.</m:t>
                        </m:r>
                      </m:sub>
                    </m:sSub>
                    <m:r>
                      <a:rPr lang="ru-RU" sz="1100" b="0" i="1">
                        <a:latin typeface="Cambria Math"/>
                      </a:rPr>
                      <m:t>=1,6</m:t>
                    </m:r>
                    <m:r>
                      <a:rPr lang="ru-RU" sz="1100" b="0" i="1">
                        <a:latin typeface="Cambria Math"/>
                        <a:ea typeface="Cambria Math"/>
                      </a:rPr>
                      <m:t>∙</m:t>
                    </m:r>
                    <m:rad>
                      <m:radPr>
                        <m:ctrlPr>
                          <a:rPr lang="ru-RU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100" b="0" i="1">
                            <a:latin typeface="Cambria Math"/>
                            <a:ea typeface="Cambria Math"/>
                          </a:rPr>
                          <m:t>3</m:t>
                        </m:r>
                      </m:deg>
                      <m:e>
                        <m:f>
                          <m:fPr>
                            <m:ctrlPr>
                              <a:rPr lang="ru-RU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ru-RU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  <m:t>пола</m:t>
                                </m:r>
                              </m:sub>
                            </m:sSub>
                          </m:num>
                          <m:den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  <a:ea typeface="Cambria Math"/>
                              </a:rPr>
                              <m:t>Σ</m:t>
                            </m:r>
                            <m:sSub>
                              <m:sSubPr>
                                <m:ctrlPr>
                                  <a:rPr lang="el-GR" sz="11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ru-RU" sz="1100" b="0" i="1">
                                    <a:latin typeface="Cambria Math"/>
                                    <a:ea typeface="Cambria Math"/>
                                  </a:rPr>
                                  <m:t>ист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lang="ru-RU" sz="11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80975" y="1533525"/>
              <a:ext cx="1533524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𝐾</a:t>
              </a:r>
              <a:r>
                <a:rPr lang="ru-RU" sz="1100" b="0" i="0">
                  <a:latin typeface="Cambria Math"/>
                </a:rPr>
                <a:t>_(п.р.)=1,6</a:t>
              </a:r>
              <a:r>
                <a:rPr lang="ru-RU" sz="1100" b="0" i="0">
                  <a:latin typeface="Cambria Math"/>
                  <a:ea typeface="Cambria Math"/>
                </a:rPr>
                <a:t>∙√(3&amp;</a:t>
              </a:r>
              <a:r>
                <a:rPr lang="en-US" sz="1100" b="0" i="0">
                  <a:latin typeface="Cambria Math"/>
                  <a:ea typeface="Cambria Math"/>
                </a:rPr>
                <a:t>𝐹</a:t>
              </a:r>
              <a:r>
                <a:rPr lang="ru-RU" sz="1100" b="0" i="0">
                  <a:latin typeface="Cambria Math"/>
                  <a:ea typeface="Cambria Math"/>
                </a:rPr>
                <a:t>_пола/(</a:t>
              </a:r>
              <a:r>
                <a:rPr lang="el-GR" sz="1100" b="0" i="0">
                  <a:latin typeface="Cambria Math"/>
                  <a:ea typeface="Cambria Math"/>
                </a:rPr>
                <a:t>Σ</a:t>
              </a:r>
              <a:r>
                <a:rPr lang="en-US" sz="1100" b="0" i="0">
                  <a:latin typeface="Cambria Math"/>
                  <a:ea typeface="Cambria Math"/>
                </a:rPr>
                <a:t>𝐹</a:t>
              </a:r>
              <a:r>
                <a:rPr lang="el-GR" sz="1100" b="0" i="0">
                  <a:latin typeface="Cambria Math"/>
                  <a:ea typeface="Cambria Math"/>
                </a:rPr>
                <a:t>_</a:t>
              </a:r>
              <a:r>
                <a:rPr lang="ru-RU" sz="1100" b="0" i="0">
                  <a:latin typeface="Cambria Math"/>
                  <a:ea typeface="Cambria Math"/>
                </a:rPr>
                <a:t>ист ))=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3</xdr:row>
      <xdr:rowOff>161925</xdr:rowOff>
    </xdr:from>
    <xdr:ext cx="723899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0" y="54292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Σ</m:t>
                    </m:r>
                    <m:sSub>
                      <m:sSubPr>
                        <m:ctrlPr>
                          <a:rPr lang="el-G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ист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0" y="54292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ист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219075</xdr:colOff>
      <xdr:row>42</xdr:row>
      <xdr:rowOff>133350</xdr:rowOff>
    </xdr:from>
    <xdr:ext cx="2200275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219075" y="3371850"/>
              <a:ext cx="2200275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в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п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в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𝐾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п.р.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ru-RU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э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19075" y="3371850"/>
              <a:ext cx="2200275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𝑍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_р=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𝑍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𝑍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𝑍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_в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_(п.р.)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𝑑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э=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4</xdr:row>
      <xdr:rowOff>161925</xdr:rowOff>
    </xdr:from>
    <xdr:ext cx="723899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0" y="73342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в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0" y="73342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𝑍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_в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94838</xdr:colOff>
      <xdr:row>45</xdr:row>
      <xdr:rowOff>67089</xdr:rowOff>
    </xdr:from>
    <xdr:ext cx="1155836" cy="4165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94838" y="3877089"/>
              <a:ext cx="1155836" cy="4165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экв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𝑏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𝑏</m:t>
                        </m:r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94838" y="3877089"/>
              <a:ext cx="1155836" cy="4165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𝑑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_экв=(2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∙𝑏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𝑎+𝑏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twoCellAnchor editAs="oneCell">
    <xdr:from>
      <xdr:col>0</xdr:col>
      <xdr:colOff>544285</xdr:colOff>
      <xdr:row>10</xdr:row>
      <xdr:rowOff>149678</xdr:rowOff>
    </xdr:from>
    <xdr:to>
      <xdr:col>5</xdr:col>
      <xdr:colOff>123168</xdr:colOff>
      <xdr:row>33</xdr:row>
      <xdr:rowOff>138043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5" y="2054678"/>
          <a:ext cx="2640490" cy="436986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723899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0" y="109537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конв.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0" y="1095375"/>
              <a:ext cx="7238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конв.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561975</xdr:colOff>
      <xdr:row>49</xdr:row>
      <xdr:rowOff>152400</xdr:rowOff>
    </xdr:from>
    <xdr:ext cx="1362075" cy="275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561975" y="5105400"/>
              <a:ext cx="1362075" cy="275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стр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конв.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561975" y="5105400"/>
              <a:ext cx="1362075" cy="275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стр=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𝑄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_(конв.)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45983</xdr:colOff>
      <xdr:row>53</xdr:row>
      <xdr:rowOff>165538</xdr:rowOff>
    </xdr:from>
    <xdr:ext cx="1832741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45983" y="5690038"/>
              <a:ext cx="183274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∆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стр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0,7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∙</m:t>
                    </m:r>
                    <m:rad>
                      <m:ra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/>
                            <a:cs typeface="+mn-cs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3</m:t>
                        </m:r>
                      </m:deg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стр</m:t>
                                </m:r>
                              </m:sub>
                              <m:sup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sSubSup>
                              <m:sSub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р</m:t>
                                </m:r>
                              </m:sub>
                              <m:sup>
                                <m:r>
                                  <a:rPr lang="ru-RU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6</m:t>
                                </m:r>
                              </m:sup>
                            </m:sSubSup>
                          </m:den>
                        </m:f>
                      </m:e>
                    </m:rad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45983" y="5690038"/>
              <a:ext cx="183274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стр=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0,7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∙√(3&amp;(𝑄_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стр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^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)/(𝑍_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^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))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223631</xdr:colOff>
      <xdr:row>58</xdr:row>
      <xdr:rowOff>53008</xdr:rowOff>
    </xdr:from>
    <xdr:ext cx="1641201" cy="465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223631" y="6339508"/>
              <a:ext cx="1641201" cy="465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𝐺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стр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3,6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𝑄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стр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стр</m:t>
                            </m:r>
                          </m:sub>
                        </m:sSub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223631" y="6339508"/>
              <a:ext cx="1641201" cy="465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𝐺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стр=(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3,6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∙𝑄_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стр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〗_стр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120528</xdr:colOff>
      <xdr:row>66</xdr:row>
      <xdr:rowOff>140690</xdr:rowOff>
    </xdr:from>
    <xdr:ext cx="1494582" cy="277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 txBox="1"/>
          </xdr:nvSpPr>
          <xdr:spPr>
            <a:xfrm>
              <a:off x="120528" y="7951190"/>
              <a:ext cx="1494582" cy="277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∆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ух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р.з.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стр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20528" y="7951190"/>
              <a:ext cx="1494582" cy="277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ух=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р.з.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〗_стр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8</xdr:row>
      <xdr:rowOff>140690</xdr:rowOff>
    </xdr:from>
    <xdr:ext cx="762000" cy="277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/>
          </xdr:nvSpPr>
          <xdr:spPr>
            <a:xfrm>
              <a:off x="0" y="1664690"/>
              <a:ext cx="762000" cy="277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р.з.</m:t>
                        </m:r>
                      </m:sub>
                    </m:sSub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0" y="1664690"/>
              <a:ext cx="762000" cy="277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р.з.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view="pageBreakPreview" topLeftCell="A7" zoomScale="70" zoomScaleNormal="85" zoomScaleSheetLayoutView="70" workbookViewId="0">
      <selection activeCell="O47" sqref="O47"/>
    </sheetView>
  </sheetViews>
  <sheetFormatPr defaultRowHeight="15" x14ac:dyDescent="0.25"/>
  <cols>
    <col min="1" max="1" width="11" customWidth="1"/>
    <col min="2" max="2" width="9.5703125" bestFit="1" customWidth="1"/>
  </cols>
  <sheetData>
    <row r="1" spans="1:21" ht="23.25" x14ac:dyDescent="0.3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1" x14ac:dyDescent="0.25">
      <c r="A2" s="7" t="s">
        <v>0</v>
      </c>
    </row>
    <row r="3" spans="1:21" x14ac:dyDescent="0.25">
      <c r="B3" s="2">
        <v>2.4</v>
      </c>
      <c r="C3" t="s">
        <v>25</v>
      </c>
    </row>
    <row r="4" spans="1:21" x14ac:dyDescent="0.25">
      <c r="B4" s="2">
        <v>12</v>
      </c>
      <c r="C4" t="s">
        <v>26</v>
      </c>
      <c r="U4" t="s">
        <v>43</v>
      </c>
    </row>
    <row r="5" spans="1:21" x14ac:dyDescent="0.25">
      <c r="B5" s="2">
        <v>9.6</v>
      </c>
      <c r="C5" t="s">
        <v>46</v>
      </c>
    </row>
    <row r="6" spans="1:21" x14ac:dyDescent="0.25">
      <c r="B6" s="2">
        <v>1040</v>
      </c>
      <c r="C6" t="s">
        <v>1</v>
      </c>
    </row>
    <row r="7" spans="1:21" x14ac:dyDescent="0.25">
      <c r="B7" s="2">
        <v>7</v>
      </c>
      <c r="C7" t="s">
        <v>14</v>
      </c>
    </row>
    <row r="8" spans="1:21" x14ac:dyDescent="0.25">
      <c r="B8" s="8">
        <v>33</v>
      </c>
      <c r="C8" t="s">
        <v>15</v>
      </c>
    </row>
    <row r="9" spans="1:21" x14ac:dyDescent="0.25">
      <c r="B9" s="8">
        <v>36</v>
      </c>
      <c r="C9" t="s">
        <v>16</v>
      </c>
    </row>
    <row r="10" spans="1:21" x14ac:dyDescent="0.25">
      <c r="B10" s="5">
        <f>(B11*B11*B12)/2</f>
        <v>22.692857142857143</v>
      </c>
      <c r="C10" t="s">
        <v>7</v>
      </c>
    </row>
    <row r="11" spans="1:21" x14ac:dyDescent="0.25">
      <c r="B11" s="2">
        <v>6</v>
      </c>
      <c r="C11" t="s">
        <v>6</v>
      </c>
    </row>
    <row r="12" spans="1:21" x14ac:dyDescent="0.25">
      <c r="B12" s="5">
        <f>353/(273+B7)</f>
        <v>1.2607142857142857</v>
      </c>
      <c r="C12" t="s">
        <v>8</v>
      </c>
    </row>
    <row r="13" spans="1:21" x14ac:dyDescent="0.25">
      <c r="B13" s="4">
        <f>353/(273+((B8+B9)/2))</f>
        <v>1.1479674796747967</v>
      </c>
      <c r="C13" t="s">
        <v>17</v>
      </c>
    </row>
    <row r="14" spans="1:21" x14ac:dyDescent="0.25">
      <c r="B14" s="5">
        <f>353/(273+B8)</f>
        <v>1.15359477124183</v>
      </c>
      <c r="C14" t="s">
        <v>22</v>
      </c>
    </row>
    <row r="15" spans="1:21" x14ac:dyDescent="0.25">
      <c r="B15" s="4">
        <f>353/(273+B9)</f>
        <v>1.1423948220064726</v>
      </c>
      <c r="C15" t="s">
        <v>23</v>
      </c>
    </row>
    <row r="16" spans="1:21" x14ac:dyDescent="0.25">
      <c r="B16" s="4">
        <f>B12*9.81</f>
        <v>12.367607142857143</v>
      </c>
      <c r="C16" t="s">
        <v>9</v>
      </c>
    </row>
    <row r="17" spans="1:6" x14ac:dyDescent="0.25">
      <c r="B17" s="4">
        <f>B13*9.81</f>
        <v>11.261560975609756</v>
      </c>
      <c r="C17" t="s">
        <v>20</v>
      </c>
    </row>
    <row r="18" spans="1:6" x14ac:dyDescent="0.25">
      <c r="B18" s="4">
        <f>B14*9.81</f>
        <v>11.316764705882353</v>
      </c>
      <c r="C18" t="s">
        <v>21</v>
      </c>
    </row>
    <row r="19" spans="1:6" x14ac:dyDescent="0.25">
      <c r="B19" s="4">
        <f>B15*9.81</f>
        <v>11.206893203883496</v>
      </c>
      <c r="C19" t="s">
        <v>24</v>
      </c>
    </row>
    <row r="20" spans="1:6" x14ac:dyDescent="0.25">
      <c r="B20" s="9">
        <v>1.0049999999999999</v>
      </c>
      <c r="C20" t="s">
        <v>18</v>
      </c>
    </row>
    <row r="21" spans="1:6" x14ac:dyDescent="0.25">
      <c r="B21" s="14">
        <v>18753</v>
      </c>
      <c r="C21" t="s">
        <v>31</v>
      </c>
    </row>
    <row r="22" spans="1:6" x14ac:dyDescent="0.25">
      <c r="B22" s="13">
        <v>3.23</v>
      </c>
      <c r="C22" t="s">
        <v>39</v>
      </c>
    </row>
    <row r="23" spans="1:6" x14ac:dyDescent="0.25">
      <c r="B23" s="13">
        <v>3.23</v>
      </c>
      <c r="C23" t="s">
        <v>36</v>
      </c>
    </row>
    <row r="24" spans="1:6" x14ac:dyDescent="0.25">
      <c r="B24" s="4">
        <f>1/SQRT(B22)</f>
        <v>0.55641488407465722</v>
      </c>
      <c r="C24" t="s">
        <v>37</v>
      </c>
    </row>
    <row r="25" spans="1:6" x14ac:dyDescent="0.25">
      <c r="B25" s="4">
        <f>1/SQRT(B22)</f>
        <v>0.55641488407465722</v>
      </c>
      <c r="C25" t="s">
        <v>38</v>
      </c>
    </row>
    <row r="27" spans="1:6" x14ac:dyDescent="0.25">
      <c r="A27" s="7" t="s">
        <v>2</v>
      </c>
    </row>
    <row r="29" spans="1:6" x14ac:dyDescent="0.25">
      <c r="A29" t="s">
        <v>3</v>
      </c>
    </row>
    <row r="31" spans="1:6" x14ac:dyDescent="0.25">
      <c r="D31" s="3">
        <f>B10</f>
        <v>22.692857142857143</v>
      </c>
      <c r="E31" s="1" t="s">
        <v>10</v>
      </c>
      <c r="F31" s="6">
        <f>0.5*B5*(B16-B17)</f>
        <v>5.3090216027874559</v>
      </c>
    </row>
    <row r="33" spans="1:8" x14ac:dyDescent="0.25">
      <c r="A33" t="s">
        <v>4</v>
      </c>
    </row>
    <row r="35" spans="1:8" x14ac:dyDescent="0.25">
      <c r="D35" s="3">
        <f>0.5*B5*(B16-B17)</f>
        <v>5.3090216027874559</v>
      </c>
      <c r="E35" s="1" t="s">
        <v>10</v>
      </c>
      <c r="F35" s="13">
        <f>B10</f>
        <v>22.692857142857143</v>
      </c>
      <c r="G35" s="1" t="s">
        <v>10</v>
      </c>
      <c r="H35" s="6">
        <f>10*B5*(B16-B17)</f>
        <v>106.18043205574912</v>
      </c>
    </row>
    <row r="37" spans="1:8" x14ac:dyDescent="0.25">
      <c r="A37" t="s">
        <v>5</v>
      </c>
    </row>
    <row r="41" spans="1:8" ht="15.75" x14ac:dyDescent="0.25">
      <c r="A41" s="22" t="s">
        <v>11</v>
      </c>
    </row>
    <row r="43" spans="1:8" x14ac:dyDescent="0.25">
      <c r="A43" t="s">
        <v>12</v>
      </c>
    </row>
    <row r="45" spans="1:8" x14ac:dyDescent="0.25">
      <c r="B45" s="1">
        <v>0.8</v>
      </c>
    </row>
    <row r="46" spans="1:8" x14ac:dyDescent="0.25">
      <c r="B46" s="1">
        <v>0.7</v>
      </c>
    </row>
    <row r="47" spans="1:8" x14ac:dyDescent="0.25">
      <c r="B47" s="1">
        <v>-0.6</v>
      </c>
    </row>
    <row r="48" spans="1:8" x14ac:dyDescent="0.25">
      <c r="B48" s="1">
        <v>-0.5</v>
      </c>
    </row>
    <row r="64" spans="1:1" x14ac:dyDescent="0.25">
      <c r="A64" s="7" t="s">
        <v>13</v>
      </c>
    </row>
    <row r="66" spans="1:10" x14ac:dyDescent="0.25">
      <c r="A66" t="s">
        <v>47</v>
      </c>
    </row>
    <row r="67" spans="1:10" x14ac:dyDescent="0.25">
      <c r="A67" t="s">
        <v>33</v>
      </c>
    </row>
    <row r="68" spans="1:10" x14ac:dyDescent="0.25">
      <c r="A68" t="s">
        <v>34</v>
      </c>
    </row>
    <row r="70" spans="1:10" x14ac:dyDescent="0.25">
      <c r="D70" s="10"/>
      <c r="E70" s="12">
        <f>(3.6*(B6*1000))/(B20*(B9-B7))</f>
        <v>128461.14256304686</v>
      </c>
      <c r="F70" t="s">
        <v>19</v>
      </c>
      <c r="I70" s="11">
        <f>E70/B15</f>
        <v>112448.98881581155</v>
      </c>
      <c r="J70" t="s">
        <v>32</v>
      </c>
    </row>
    <row r="73" spans="1:10" x14ac:dyDescent="0.25">
      <c r="E73" s="11">
        <f>(3.6*(B6*1000))/(B20*(B9-B7))+B21*4</f>
        <v>203473.14256304686</v>
      </c>
      <c r="F73" t="s">
        <v>19</v>
      </c>
      <c r="I73" s="11">
        <f>E73/B12</f>
        <v>161395.12724547627</v>
      </c>
      <c r="J73" t="s">
        <v>32</v>
      </c>
    </row>
    <row r="76" spans="1:10" x14ac:dyDescent="0.25">
      <c r="A76" t="s">
        <v>28</v>
      </c>
    </row>
    <row r="78" spans="1:10" x14ac:dyDescent="0.25">
      <c r="D78" s="4">
        <f>B3*(B16-B18)</f>
        <v>2.5220218487394956</v>
      </c>
      <c r="E78" t="s">
        <v>27</v>
      </c>
    </row>
    <row r="80" spans="1:10" x14ac:dyDescent="0.25">
      <c r="D80" s="4">
        <f>B4*(B16-B19)</f>
        <v>13.928567267683761</v>
      </c>
      <c r="E80" t="s">
        <v>27</v>
      </c>
    </row>
    <row r="82" spans="1:5" x14ac:dyDescent="0.25">
      <c r="D82" s="4">
        <f>B4*(B16-B19)</f>
        <v>13.928567267683761</v>
      </c>
      <c r="E82" t="s">
        <v>27</v>
      </c>
    </row>
    <row r="84" spans="1:5" x14ac:dyDescent="0.25">
      <c r="D84" s="4">
        <f>B3*(B16-B18)</f>
        <v>2.5220218487394956</v>
      </c>
      <c r="E84" t="s">
        <v>27</v>
      </c>
    </row>
    <row r="86" spans="1:5" x14ac:dyDescent="0.25">
      <c r="A86" t="s">
        <v>29</v>
      </c>
    </row>
    <row r="88" spans="1:5" x14ac:dyDescent="0.25">
      <c r="D88" s="5">
        <f>B45*B10</f>
        <v>18.154285714285717</v>
      </c>
      <c r="E88" t="s">
        <v>27</v>
      </c>
    </row>
    <row r="89" spans="1:5" x14ac:dyDescent="0.25">
      <c r="D89" s="10"/>
    </row>
    <row r="90" spans="1:5" x14ac:dyDescent="0.25">
      <c r="D90" s="5">
        <f>B46*B10</f>
        <v>15.885</v>
      </c>
      <c r="E90" t="s">
        <v>27</v>
      </c>
    </row>
    <row r="91" spans="1:5" x14ac:dyDescent="0.25">
      <c r="D91" s="10"/>
    </row>
    <row r="92" spans="1:5" x14ac:dyDescent="0.25">
      <c r="D92" s="5">
        <f>B47*B10</f>
        <v>-13.615714285714285</v>
      </c>
      <c r="E92" t="s">
        <v>27</v>
      </c>
    </row>
    <row r="93" spans="1:5" x14ac:dyDescent="0.25">
      <c r="D93" s="10"/>
    </row>
    <row r="94" spans="1:5" x14ac:dyDescent="0.25">
      <c r="D94" s="5">
        <f>B48*B10</f>
        <v>-11.346428571428572</v>
      </c>
      <c r="E94" t="s">
        <v>27</v>
      </c>
    </row>
    <row r="96" spans="1:5" x14ac:dyDescent="0.25">
      <c r="A96" t="s">
        <v>30</v>
      </c>
    </row>
    <row r="98" spans="1:8" x14ac:dyDescent="0.25">
      <c r="D98" s="5">
        <f>D78-D88</f>
        <v>-15.632263865546221</v>
      </c>
      <c r="E98" t="s">
        <v>27</v>
      </c>
    </row>
    <row r="99" spans="1:8" x14ac:dyDescent="0.25">
      <c r="D99" s="10"/>
    </row>
    <row r="100" spans="1:8" x14ac:dyDescent="0.25">
      <c r="D100" s="5">
        <f>D80-D90</f>
        <v>-1.9564327323162392</v>
      </c>
      <c r="E100" t="s">
        <v>27</v>
      </c>
    </row>
    <row r="101" spans="1:8" x14ac:dyDescent="0.25">
      <c r="D101" s="10"/>
    </row>
    <row r="102" spans="1:8" x14ac:dyDescent="0.25">
      <c r="D102" s="5">
        <f>D82-D92</f>
        <v>27.544281553398044</v>
      </c>
      <c r="E102" t="s">
        <v>27</v>
      </c>
    </row>
    <row r="103" spans="1:8" x14ac:dyDescent="0.25">
      <c r="D103" s="10"/>
    </row>
    <row r="104" spans="1:8" x14ac:dyDescent="0.25">
      <c r="D104" s="5">
        <f>D84-D94</f>
        <v>13.868450420168067</v>
      </c>
      <c r="E104" t="s">
        <v>27</v>
      </c>
    </row>
    <row r="106" spans="1:8" x14ac:dyDescent="0.25">
      <c r="A106" t="s">
        <v>35</v>
      </c>
    </row>
    <row r="107" spans="1:8" x14ac:dyDescent="0.25">
      <c r="A107" t="s">
        <v>40</v>
      </c>
    </row>
    <row r="108" spans="1:8" x14ac:dyDescent="0.25">
      <c r="A108" t="s">
        <v>41</v>
      </c>
    </row>
    <row r="110" spans="1:8" x14ac:dyDescent="0.25">
      <c r="G110" s="16">
        <f>(I73*B12)/(3600*B24*((2*B12)^0.5)*(D104^0.5))</f>
        <v>17.177839833879673</v>
      </c>
      <c r="H110" t="s">
        <v>42</v>
      </c>
    </row>
    <row r="114" spans="1:8" x14ac:dyDescent="0.25">
      <c r="G114" s="15">
        <f>(I70*B15)/(3600*B25*((2*B15)^0.5)*(D102^0.5))</f>
        <v>8.0841005287943233</v>
      </c>
      <c r="H114" t="s">
        <v>42</v>
      </c>
    </row>
    <row r="117" spans="1:8" x14ac:dyDescent="0.25">
      <c r="A117" t="s">
        <v>44</v>
      </c>
    </row>
    <row r="118" spans="1:8" x14ac:dyDescent="0.25">
      <c r="A118" t="s">
        <v>45</v>
      </c>
    </row>
    <row r="120" spans="1:8" x14ac:dyDescent="0.25">
      <c r="C120" s="4">
        <f>G110/G114</f>
        <v>2.1248919125504253</v>
      </c>
    </row>
  </sheetData>
  <mergeCells count="1">
    <mergeCell ref="A1:L1"/>
  </mergeCells>
  <pageMargins left="0.7" right="0.7" top="0.75" bottom="0.75" header="0.3" footer="0.3"/>
  <pageSetup paperSize="9" scale="72" orientation="portrait" r:id="rId1"/>
  <rowBreaks count="1" manualBreakCount="1">
    <brk id="63" max="11" man="1"/>
  </rowBreaks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0"/>
  <sheetViews>
    <sheetView view="pageBreakPreview" topLeftCell="A43" zoomScale="85" zoomScaleNormal="70" zoomScaleSheetLayoutView="85" workbookViewId="0">
      <selection activeCell="Q68" sqref="Q68"/>
    </sheetView>
  </sheetViews>
  <sheetFormatPr defaultRowHeight="15" x14ac:dyDescent="0.25"/>
  <cols>
    <col min="1" max="1" width="11" customWidth="1"/>
    <col min="2" max="2" width="9.5703125" bestFit="1" customWidth="1"/>
  </cols>
  <sheetData>
    <row r="1" spans="1:21" ht="23.25" x14ac:dyDescent="0.3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1" x14ac:dyDescent="0.25">
      <c r="A2" s="7" t="s">
        <v>0</v>
      </c>
    </row>
    <row r="3" spans="1:21" x14ac:dyDescent="0.25">
      <c r="B3" s="2">
        <v>2.4</v>
      </c>
      <c r="C3" t="s">
        <v>25</v>
      </c>
    </row>
    <row r="4" spans="1:21" x14ac:dyDescent="0.25">
      <c r="B4" s="2">
        <v>8.4</v>
      </c>
      <c r="C4" t="s">
        <v>49</v>
      </c>
      <c r="U4" t="s">
        <v>43</v>
      </c>
    </row>
    <row r="5" spans="1:21" x14ac:dyDescent="0.25">
      <c r="B5" s="2">
        <v>6</v>
      </c>
      <c r="C5" t="s">
        <v>46</v>
      </c>
    </row>
    <row r="6" spans="1:21" x14ac:dyDescent="0.25">
      <c r="B6" s="2">
        <v>1040</v>
      </c>
      <c r="C6" t="s">
        <v>1</v>
      </c>
    </row>
    <row r="7" spans="1:21" x14ac:dyDescent="0.25">
      <c r="B7" s="2">
        <v>7</v>
      </c>
      <c r="C7" t="s">
        <v>14</v>
      </c>
    </row>
    <row r="8" spans="1:21" x14ac:dyDescent="0.25">
      <c r="B8" s="8">
        <v>33</v>
      </c>
      <c r="C8" t="s">
        <v>15</v>
      </c>
    </row>
    <row r="9" spans="1:21" x14ac:dyDescent="0.25">
      <c r="B9" s="8">
        <v>36</v>
      </c>
      <c r="C9" t="s">
        <v>16</v>
      </c>
    </row>
    <row r="10" spans="1:21" x14ac:dyDescent="0.25">
      <c r="B10" s="5">
        <f>(+B11*B11*B12)/2</f>
        <v>22.692857142857143</v>
      </c>
      <c r="C10" t="s">
        <v>7</v>
      </c>
    </row>
    <row r="11" spans="1:21" x14ac:dyDescent="0.25">
      <c r="B11" s="2">
        <v>6</v>
      </c>
      <c r="C11" t="s">
        <v>6</v>
      </c>
    </row>
    <row r="12" spans="1:21" x14ac:dyDescent="0.25">
      <c r="B12" s="5">
        <f>353/(273+B7)</f>
        <v>1.2607142857142857</v>
      </c>
      <c r="C12" t="s">
        <v>8</v>
      </c>
    </row>
    <row r="13" spans="1:21" x14ac:dyDescent="0.25">
      <c r="B13" s="4">
        <f>353/(273+((B8+B9)/2))</f>
        <v>1.1479674796747967</v>
      </c>
      <c r="C13" t="s">
        <v>17</v>
      </c>
    </row>
    <row r="14" spans="1:21" x14ac:dyDescent="0.25">
      <c r="B14" s="5">
        <f>353/(273+B8)</f>
        <v>1.15359477124183</v>
      </c>
      <c r="C14" t="s">
        <v>22</v>
      </c>
    </row>
    <row r="15" spans="1:21" x14ac:dyDescent="0.25">
      <c r="B15" s="4">
        <f>353/(273+B9)</f>
        <v>1.1423948220064726</v>
      </c>
      <c r="C15" t="s">
        <v>23</v>
      </c>
    </row>
    <row r="16" spans="1:21" x14ac:dyDescent="0.25">
      <c r="B16" s="4">
        <f>B12*9.81</f>
        <v>12.367607142857143</v>
      </c>
      <c r="C16" t="s">
        <v>9</v>
      </c>
    </row>
    <row r="17" spans="1:6" x14ac:dyDescent="0.25">
      <c r="B17" s="4">
        <f>B13*9.81</f>
        <v>11.261560975609756</v>
      </c>
      <c r="C17" t="s">
        <v>20</v>
      </c>
    </row>
    <row r="18" spans="1:6" x14ac:dyDescent="0.25">
      <c r="B18" s="4">
        <f>B14*9.81</f>
        <v>11.316764705882353</v>
      </c>
      <c r="C18" t="s">
        <v>21</v>
      </c>
    </row>
    <row r="19" spans="1:6" x14ac:dyDescent="0.25">
      <c r="B19" s="4">
        <f>B15*9.81</f>
        <v>11.206893203883496</v>
      </c>
      <c r="C19" t="s">
        <v>24</v>
      </c>
    </row>
    <row r="20" spans="1:6" x14ac:dyDescent="0.25">
      <c r="B20" s="9">
        <v>1.0049999999999999</v>
      </c>
      <c r="C20" t="s">
        <v>18</v>
      </c>
    </row>
    <row r="21" spans="1:6" x14ac:dyDescent="0.25">
      <c r="B21" s="14">
        <v>18753</v>
      </c>
      <c r="C21" t="s">
        <v>31</v>
      </c>
    </row>
    <row r="22" spans="1:6" x14ac:dyDescent="0.25">
      <c r="B22" s="13">
        <v>3.23</v>
      </c>
      <c r="C22" t="s">
        <v>39</v>
      </c>
    </row>
    <row r="23" spans="1:6" x14ac:dyDescent="0.25">
      <c r="B23" s="13">
        <v>3.23</v>
      </c>
      <c r="C23" t="s">
        <v>36</v>
      </c>
    </row>
    <row r="24" spans="1:6" x14ac:dyDescent="0.25">
      <c r="B24" s="4">
        <f>1/SQRT(B22)</f>
        <v>0.55641488407465722</v>
      </c>
      <c r="C24" t="s">
        <v>37</v>
      </c>
    </row>
    <row r="25" spans="1:6" x14ac:dyDescent="0.25">
      <c r="B25" s="4">
        <f>1/SQRT(B22)</f>
        <v>0.55641488407465722</v>
      </c>
      <c r="C25" t="s">
        <v>38</v>
      </c>
    </row>
    <row r="27" spans="1:6" x14ac:dyDescent="0.25">
      <c r="A27" s="7" t="s">
        <v>2</v>
      </c>
    </row>
    <row r="29" spans="1:6" x14ac:dyDescent="0.25">
      <c r="A29" t="s">
        <v>3</v>
      </c>
    </row>
    <row r="31" spans="1:6" x14ac:dyDescent="0.25">
      <c r="D31" s="3">
        <f>B10</f>
        <v>22.692857142857143</v>
      </c>
      <c r="E31" s="1" t="s">
        <v>10</v>
      </c>
      <c r="F31" s="6">
        <f>0.5*B5*(B16-B17)</f>
        <v>3.3181385017421601</v>
      </c>
    </row>
    <row r="33" spans="1:8" x14ac:dyDescent="0.25">
      <c r="A33" t="s">
        <v>4</v>
      </c>
    </row>
    <row r="35" spans="1:8" x14ac:dyDescent="0.25">
      <c r="D35" s="3">
        <f>0.5*B5*(B16-B17)</f>
        <v>3.3181385017421601</v>
      </c>
      <c r="E35" s="1" t="s">
        <v>10</v>
      </c>
      <c r="F35" s="13">
        <f>B10</f>
        <v>22.692857142857143</v>
      </c>
      <c r="G35" s="1" t="s">
        <v>10</v>
      </c>
      <c r="H35" s="6">
        <f>10*B5*(B16-B17)</f>
        <v>66.362770034843209</v>
      </c>
    </row>
    <row r="37" spans="1:8" x14ac:dyDescent="0.25">
      <c r="A37" t="s">
        <v>5</v>
      </c>
    </row>
    <row r="39" spans="1:8" x14ac:dyDescent="0.25">
      <c r="E39" s="5">
        <f>B10</f>
        <v>22.692857142857143</v>
      </c>
      <c r="F39" s="20" t="s">
        <v>63</v>
      </c>
      <c r="G39" s="4">
        <f>10*B5*(B16-B17)</f>
        <v>66.362770034843209</v>
      </c>
    </row>
    <row r="41" spans="1:8" ht="15.75" x14ac:dyDescent="0.25">
      <c r="A41" s="22" t="s">
        <v>11</v>
      </c>
    </row>
    <row r="43" spans="1:8" x14ac:dyDescent="0.25">
      <c r="A43" t="s">
        <v>12</v>
      </c>
    </row>
    <row r="45" spans="1:8" x14ac:dyDescent="0.25">
      <c r="B45" s="1">
        <v>0.8</v>
      </c>
    </row>
    <row r="46" spans="1:8" x14ac:dyDescent="0.25">
      <c r="B46" s="1">
        <v>0.8</v>
      </c>
    </row>
    <row r="47" spans="1:8" x14ac:dyDescent="0.25">
      <c r="B47" s="1">
        <v>-0.5</v>
      </c>
    </row>
    <row r="48" spans="1:8" x14ac:dyDescent="0.25">
      <c r="B48" s="1">
        <v>-0.5</v>
      </c>
    </row>
    <row r="64" spans="1:1" x14ac:dyDescent="0.25">
      <c r="A64" s="7" t="s">
        <v>13</v>
      </c>
    </row>
    <row r="66" spans="1:10" x14ac:dyDescent="0.25">
      <c r="A66" t="s">
        <v>47</v>
      </c>
    </row>
    <row r="67" spans="1:10" x14ac:dyDescent="0.25">
      <c r="A67" t="s">
        <v>33</v>
      </c>
    </row>
    <row r="68" spans="1:10" x14ac:dyDescent="0.25">
      <c r="A68" t="s">
        <v>34</v>
      </c>
    </row>
    <row r="70" spans="1:10" x14ac:dyDescent="0.25">
      <c r="D70" s="10"/>
      <c r="E70" s="12">
        <f>(3.6*(B6*1000))/(B20*(B9-B7))</f>
        <v>128461.14256304686</v>
      </c>
      <c r="F70" t="s">
        <v>19</v>
      </c>
      <c r="I70" s="11">
        <f>E70/B15</f>
        <v>112448.98881581155</v>
      </c>
      <c r="J70" t="s">
        <v>32</v>
      </c>
    </row>
    <row r="73" spans="1:10" x14ac:dyDescent="0.25">
      <c r="E73" s="11">
        <f>(3.6*(B6*1000))/(B20*(B9-B7))+B21*4</f>
        <v>203473.14256304686</v>
      </c>
      <c r="F73" t="s">
        <v>19</v>
      </c>
      <c r="I73" s="11">
        <f>E73/B12</f>
        <v>161395.12724547627</v>
      </c>
      <c r="J73" t="s">
        <v>32</v>
      </c>
    </row>
    <row r="76" spans="1:10" x14ac:dyDescent="0.25">
      <c r="A76" t="s">
        <v>28</v>
      </c>
    </row>
    <row r="78" spans="1:10" x14ac:dyDescent="0.25">
      <c r="D78" s="4">
        <f>B3*(B16-B18)</f>
        <v>2.5220218487394956</v>
      </c>
      <c r="E78" t="s">
        <v>27</v>
      </c>
    </row>
    <row r="80" spans="1:10" x14ac:dyDescent="0.25">
      <c r="D80" s="4">
        <f>B4*(B16-B19)</f>
        <v>9.7499970873786328</v>
      </c>
      <c r="E80" t="s">
        <v>27</v>
      </c>
    </row>
    <row r="82" spans="1:5" x14ac:dyDescent="0.25">
      <c r="D82" s="4">
        <f>B4*(B16-B19)</f>
        <v>9.7499970873786328</v>
      </c>
      <c r="E82" t="s">
        <v>27</v>
      </c>
    </row>
    <row r="84" spans="1:5" x14ac:dyDescent="0.25">
      <c r="D84" s="4">
        <f>B3*(B16-B18)</f>
        <v>2.5220218487394956</v>
      </c>
      <c r="E84" t="s">
        <v>27</v>
      </c>
    </row>
    <row r="86" spans="1:5" x14ac:dyDescent="0.25">
      <c r="A86" t="s">
        <v>29</v>
      </c>
    </row>
    <row r="88" spans="1:5" x14ac:dyDescent="0.25">
      <c r="D88" s="5">
        <f>B45*B10</f>
        <v>18.154285714285717</v>
      </c>
      <c r="E88" t="s">
        <v>27</v>
      </c>
    </row>
    <row r="89" spans="1:5" x14ac:dyDescent="0.25">
      <c r="D89" s="10"/>
    </row>
    <row r="90" spans="1:5" x14ac:dyDescent="0.25">
      <c r="D90" s="5">
        <f>B46*B10</f>
        <v>18.154285714285717</v>
      </c>
      <c r="E90" t="s">
        <v>27</v>
      </c>
    </row>
    <row r="91" spans="1:5" x14ac:dyDescent="0.25">
      <c r="D91" s="10"/>
    </row>
    <row r="92" spans="1:5" x14ac:dyDescent="0.25">
      <c r="D92" s="5">
        <f>B47*B10</f>
        <v>-11.346428571428572</v>
      </c>
      <c r="E92" t="s">
        <v>27</v>
      </c>
    </row>
    <row r="93" spans="1:5" x14ac:dyDescent="0.25">
      <c r="D93" s="10"/>
    </row>
    <row r="94" spans="1:5" x14ac:dyDescent="0.25">
      <c r="D94" s="5">
        <f>B48*B10</f>
        <v>-11.346428571428572</v>
      </c>
      <c r="E94" t="s">
        <v>27</v>
      </c>
    </row>
    <row r="96" spans="1:5" x14ac:dyDescent="0.25">
      <c r="A96" t="s">
        <v>30</v>
      </c>
    </row>
    <row r="98" spans="1:12" x14ac:dyDescent="0.25">
      <c r="D98" s="5">
        <f>D78-D88</f>
        <v>-15.632263865546221</v>
      </c>
      <c r="E98" t="s">
        <v>27</v>
      </c>
    </row>
    <row r="99" spans="1:12" x14ac:dyDescent="0.25">
      <c r="D99" s="10"/>
    </row>
    <row r="100" spans="1:12" x14ac:dyDescent="0.25">
      <c r="D100" s="5">
        <f>D80-D90</f>
        <v>-8.4042886269070838</v>
      </c>
      <c r="E100" t="s">
        <v>27</v>
      </c>
    </row>
    <row r="101" spans="1:12" x14ac:dyDescent="0.25">
      <c r="D101" s="10"/>
    </row>
    <row r="102" spans="1:12" x14ac:dyDescent="0.25">
      <c r="D102" s="5">
        <f>D82-D92</f>
        <v>21.096425658807206</v>
      </c>
      <c r="E102" t="s">
        <v>27</v>
      </c>
    </row>
    <row r="103" spans="1:12" x14ac:dyDescent="0.25">
      <c r="D103" s="10"/>
    </row>
    <row r="104" spans="1:12" x14ac:dyDescent="0.25">
      <c r="D104" s="5">
        <f>D84-D94</f>
        <v>13.868450420168067</v>
      </c>
      <c r="E104" t="s">
        <v>27</v>
      </c>
    </row>
    <row r="106" spans="1:12" x14ac:dyDescent="0.25">
      <c r="A106" t="s">
        <v>35</v>
      </c>
    </row>
    <row r="107" spans="1:12" x14ac:dyDescent="0.25">
      <c r="A107" t="s">
        <v>40</v>
      </c>
    </row>
    <row r="108" spans="1:12" x14ac:dyDescent="0.25">
      <c r="A108" t="s">
        <v>41</v>
      </c>
    </row>
    <row r="110" spans="1:12" x14ac:dyDescent="0.25">
      <c r="G110" s="16">
        <f>(I73*B12)/(3600*B24*((2*B12)^0.5)*(D104^0.5))</f>
        <v>17.177839833879673</v>
      </c>
      <c r="H110" t="s">
        <v>42</v>
      </c>
      <c r="I110" s="19"/>
      <c r="J110" s="18"/>
      <c r="K110" s="17"/>
      <c r="L110" s="17"/>
    </row>
    <row r="111" spans="1:12" x14ac:dyDescent="0.25">
      <c r="I111" s="18"/>
      <c r="J111" s="17"/>
      <c r="K111" s="17"/>
      <c r="L111" s="17"/>
    </row>
    <row r="112" spans="1:12" x14ac:dyDescent="0.25">
      <c r="I112" s="18"/>
      <c r="J112" s="17"/>
      <c r="K112" s="17"/>
      <c r="L112" s="17"/>
    </row>
    <row r="113" spans="1:12" x14ac:dyDescent="0.25">
      <c r="I113" s="19"/>
      <c r="J113" s="18"/>
      <c r="K113" s="17"/>
      <c r="L113" s="17"/>
    </row>
    <row r="114" spans="1:12" x14ac:dyDescent="0.25">
      <c r="G114" s="15">
        <f>(I70*B15)/(3600*B25*((2*B12)^0.5)*(D102^0.5))</f>
        <v>8.7931152651895594</v>
      </c>
      <c r="H114" t="s">
        <v>42</v>
      </c>
      <c r="I114" s="18"/>
      <c r="J114" s="17"/>
      <c r="K114" s="17"/>
      <c r="L114" s="17"/>
    </row>
    <row r="115" spans="1:12" x14ac:dyDescent="0.25">
      <c r="I115" s="18"/>
      <c r="J115" s="17"/>
      <c r="K115" s="17"/>
      <c r="L115" s="17"/>
    </row>
    <row r="117" spans="1:12" x14ac:dyDescent="0.25">
      <c r="A117" t="s">
        <v>44</v>
      </c>
    </row>
    <row r="118" spans="1:12" x14ac:dyDescent="0.25">
      <c r="A118" t="s">
        <v>45</v>
      </c>
    </row>
    <row r="120" spans="1:12" x14ac:dyDescent="0.25">
      <c r="C120" s="4">
        <f>G110/G114</f>
        <v>1.9535556302649422</v>
      </c>
    </row>
  </sheetData>
  <mergeCells count="1">
    <mergeCell ref="A1:L1"/>
  </mergeCells>
  <pageMargins left="0.7" right="0.7" top="0.75" bottom="0.75" header="0.3" footer="0.3"/>
  <pageSetup paperSize="9" scale="72" orientation="portrait" r:id="rId1"/>
  <rowBreaks count="1" manualBreakCount="1">
    <brk id="63" max="11" man="1"/>
  </rowBreaks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0"/>
  <sheetViews>
    <sheetView view="pageBreakPreview" zoomScale="85" zoomScaleNormal="70" zoomScaleSheetLayoutView="85" workbookViewId="0">
      <selection activeCell="J28" sqref="J28"/>
    </sheetView>
  </sheetViews>
  <sheetFormatPr defaultRowHeight="15" x14ac:dyDescent="0.25"/>
  <cols>
    <col min="1" max="1" width="11" customWidth="1"/>
    <col min="2" max="2" width="9.5703125" bestFit="1" customWidth="1"/>
  </cols>
  <sheetData>
    <row r="1" spans="1:21" ht="23.25" x14ac:dyDescent="0.3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1" x14ac:dyDescent="0.25">
      <c r="A2" s="7" t="s">
        <v>0</v>
      </c>
    </row>
    <row r="3" spans="1:21" x14ac:dyDescent="0.25">
      <c r="B3" s="2">
        <v>4.4000000000000004</v>
      </c>
      <c r="C3" t="s">
        <v>65</v>
      </c>
    </row>
    <row r="4" spans="1:21" x14ac:dyDescent="0.25">
      <c r="B4" s="2">
        <v>8.4</v>
      </c>
      <c r="C4" t="s">
        <v>49</v>
      </c>
      <c r="U4" t="s">
        <v>43</v>
      </c>
    </row>
    <row r="5" spans="1:21" x14ac:dyDescent="0.25">
      <c r="B5" s="2">
        <v>4</v>
      </c>
      <c r="C5" t="s">
        <v>64</v>
      </c>
    </row>
    <row r="6" spans="1:21" x14ac:dyDescent="0.25">
      <c r="B6" s="2">
        <v>1040</v>
      </c>
      <c r="C6" t="s">
        <v>1</v>
      </c>
    </row>
    <row r="7" spans="1:21" x14ac:dyDescent="0.25">
      <c r="B7" s="2">
        <v>-47</v>
      </c>
      <c r="C7" t="s">
        <v>66</v>
      </c>
    </row>
    <row r="8" spans="1:21" x14ac:dyDescent="0.25">
      <c r="B8" s="8">
        <v>16</v>
      </c>
      <c r="C8" t="s">
        <v>15</v>
      </c>
    </row>
    <row r="9" spans="1:21" x14ac:dyDescent="0.25">
      <c r="B9" s="8">
        <f>B8+3</f>
        <v>19</v>
      </c>
      <c r="C9" t="s">
        <v>16</v>
      </c>
    </row>
    <row r="10" spans="1:21" x14ac:dyDescent="0.25">
      <c r="B10" s="5">
        <f>(+B11*B11*B12)/2</f>
        <v>28.115044247787612</v>
      </c>
      <c r="C10" t="s">
        <v>7</v>
      </c>
    </row>
    <row r="11" spans="1:21" x14ac:dyDescent="0.25">
      <c r="B11" s="2">
        <v>6</v>
      </c>
      <c r="C11" t="s">
        <v>6</v>
      </c>
    </row>
    <row r="12" spans="1:21" x14ac:dyDescent="0.25">
      <c r="B12" s="5">
        <f>353/(273+B7)</f>
        <v>1.5619469026548674</v>
      </c>
      <c r="C12" t="s">
        <v>8</v>
      </c>
    </row>
    <row r="13" spans="1:21" x14ac:dyDescent="0.25">
      <c r="B13" s="4">
        <f>353/(273+((B8+B9)/2))</f>
        <v>1.2151462994836488</v>
      </c>
      <c r="C13" t="s">
        <v>17</v>
      </c>
    </row>
    <row r="14" spans="1:21" x14ac:dyDescent="0.25">
      <c r="B14" s="5">
        <f>353/(273+B8)</f>
        <v>1.2214532871972319</v>
      </c>
      <c r="C14" t="s">
        <v>22</v>
      </c>
    </row>
    <row r="15" spans="1:21" x14ac:dyDescent="0.25">
      <c r="B15" s="4">
        <f>353/(273+B9)</f>
        <v>1.2089041095890412</v>
      </c>
      <c r="C15" t="s">
        <v>23</v>
      </c>
    </row>
    <row r="16" spans="1:21" x14ac:dyDescent="0.25">
      <c r="B16" s="4">
        <f>B12*9.81</f>
        <v>15.32269911504425</v>
      </c>
      <c r="C16" t="s">
        <v>9</v>
      </c>
    </row>
    <row r="17" spans="1:6" x14ac:dyDescent="0.25">
      <c r="B17" s="4">
        <f>B13*9.81</f>
        <v>11.920585197934596</v>
      </c>
      <c r="C17" t="s">
        <v>20</v>
      </c>
    </row>
    <row r="18" spans="1:6" x14ac:dyDescent="0.25">
      <c r="B18" s="4">
        <f>B14*9.81</f>
        <v>11.982456747404845</v>
      </c>
      <c r="C18" t="s">
        <v>21</v>
      </c>
    </row>
    <row r="19" spans="1:6" x14ac:dyDescent="0.25">
      <c r="B19" s="4">
        <f>B15*9.81</f>
        <v>11.859349315068494</v>
      </c>
      <c r="C19" t="s">
        <v>24</v>
      </c>
    </row>
    <row r="20" spans="1:6" x14ac:dyDescent="0.25">
      <c r="B20" s="9">
        <v>1.0049999999999999</v>
      </c>
      <c r="C20" t="s">
        <v>18</v>
      </c>
    </row>
    <row r="21" spans="1:6" x14ac:dyDescent="0.25">
      <c r="B21" s="14">
        <v>18753</v>
      </c>
      <c r="C21" t="s">
        <v>31</v>
      </c>
    </row>
    <row r="22" spans="1:6" x14ac:dyDescent="0.25">
      <c r="B22" s="13">
        <v>3.23</v>
      </c>
      <c r="C22" t="s">
        <v>39</v>
      </c>
    </row>
    <row r="23" spans="1:6" x14ac:dyDescent="0.25">
      <c r="B23" s="13">
        <v>3.23</v>
      </c>
      <c r="C23" t="s">
        <v>36</v>
      </c>
    </row>
    <row r="24" spans="1:6" x14ac:dyDescent="0.25">
      <c r="B24" s="4">
        <f>1/SQRT(B22)</f>
        <v>0.55641488407465722</v>
      </c>
      <c r="C24" t="s">
        <v>37</v>
      </c>
    </row>
    <row r="25" spans="1:6" x14ac:dyDescent="0.25">
      <c r="B25" s="4">
        <f>1/SQRT(B22)</f>
        <v>0.55641488407465722</v>
      </c>
      <c r="C25" t="s">
        <v>38</v>
      </c>
    </row>
    <row r="27" spans="1:6" x14ac:dyDescent="0.25">
      <c r="A27" s="7" t="s">
        <v>2</v>
      </c>
    </row>
    <row r="29" spans="1:6" x14ac:dyDescent="0.25">
      <c r="A29" t="s">
        <v>3</v>
      </c>
    </row>
    <row r="31" spans="1:6" x14ac:dyDescent="0.25">
      <c r="D31" s="3">
        <f>B10</f>
        <v>28.115044247787612</v>
      </c>
      <c r="E31" s="1" t="s">
        <v>10</v>
      </c>
      <c r="F31" s="6">
        <f>0.5*B5*(B16-B17)</f>
        <v>6.8042278342193079</v>
      </c>
    </row>
    <row r="33" spans="1:8" x14ac:dyDescent="0.25">
      <c r="A33" t="s">
        <v>4</v>
      </c>
    </row>
    <row r="35" spans="1:8" x14ac:dyDescent="0.25">
      <c r="D35" s="3">
        <f>0.5*B5*(B16-B17)</f>
        <v>6.8042278342193079</v>
      </c>
      <c r="E35" s="1" t="s">
        <v>10</v>
      </c>
      <c r="F35" s="13">
        <f>B10</f>
        <v>28.115044247787612</v>
      </c>
      <c r="G35" s="1" t="s">
        <v>10</v>
      </c>
      <c r="H35" s="6">
        <f>10*B5*(B16-B17)</f>
        <v>136.08455668438614</v>
      </c>
    </row>
    <row r="37" spans="1:8" x14ac:dyDescent="0.25">
      <c r="A37" t="s">
        <v>5</v>
      </c>
    </row>
    <row r="39" spans="1:8" x14ac:dyDescent="0.25">
      <c r="E39" s="5">
        <f>B10</f>
        <v>28.115044247787612</v>
      </c>
      <c r="F39" s="20" t="s">
        <v>63</v>
      </c>
      <c r="G39" s="4">
        <f>10*B5*(B16-B17)</f>
        <v>136.08455668438614</v>
      </c>
    </row>
    <row r="41" spans="1:8" ht="15.75" x14ac:dyDescent="0.25">
      <c r="A41" s="22" t="s">
        <v>11</v>
      </c>
    </row>
    <row r="43" spans="1:8" x14ac:dyDescent="0.25">
      <c r="A43" t="s">
        <v>12</v>
      </c>
    </row>
    <row r="45" spans="1:8" x14ac:dyDescent="0.25">
      <c r="B45" s="1">
        <v>0.8</v>
      </c>
    </row>
    <row r="46" spans="1:8" x14ac:dyDescent="0.25">
      <c r="B46" s="1">
        <v>0.8</v>
      </c>
    </row>
    <row r="47" spans="1:8" x14ac:dyDescent="0.25">
      <c r="B47" s="1">
        <v>-0.5</v>
      </c>
    </row>
    <row r="48" spans="1:8" x14ac:dyDescent="0.25">
      <c r="B48" s="1">
        <v>-0.5</v>
      </c>
    </row>
    <row r="64" spans="1:1" x14ac:dyDescent="0.25">
      <c r="A64" s="7" t="s">
        <v>13</v>
      </c>
    </row>
    <row r="66" spans="1:10" x14ac:dyDescent="0.25">
      <c r="A66" t="s">
        <v>47</v>
      </c>
    </row>
    <row r="67" spans="1:10" x14ac:dyDescent="0.25">
      <c r="A67" t="s">
        <v>33</v>
      </c>
    </row>
    <row r="68" spans="1:10" x14ac:dyDescent="0.25">
      <c r="A68" t="s">
        <v>34</v>
      </c>
    </row>
    <row r="70" spans="1:10" x14ac:dyDescent="0.25">
      <c r="D70" s="10"/>
      <c r="E70" s="12">
        <f>(3.6*(B6*1000))/(B20*(B9-B7))</f>
        <v>56445.047489823613</v>
      </c>
      <c r="F70" t="s">
        <v>19</v>
      </c>
      <c r="I70" s="11">
        <f>E70/B15</f>
        <v>46691.087442007069</v>
      </c>
      <c r="J70" t="s">
        <v>32</v>
      </c>
    </row>
    <row r="73" spans="1:10" x14ac:dyDescent="0.25">
      <c r="E73" s="11">
        <f>(3.6*(B6*1000))/(B20*(B9-B7))+B21*4</f>
        <v>131457.0474898236</v>
      </c>
      <c r="F73" t="s">
        <v>19</v>
      </c>
      <c r="I73" s="11">
        <f>E73/B12</f>
        <v>84162.302358923887</v>
      </c>
      <c r="J73" t="s">
        <v>32</v>
      </c>
    </row>
    <row r="76" spans="1:10" x14ac:dyDescent="0.25">
      <c r="A76" t="s">
        <v>28</v>
      </c>
    </row>
    <row r="78" spans="1:10" x14ac:dyDescent="0.25">
      <c r="D78" s="4">
        <f>B3*(B16-B18)</f>
        <v>14.697066417613383</v>
      </c>
      <c r="E78" t="s">
        <v>27</v>
      </c>
    </row>
    <row r="80" spans="1:10" x14ac:dyDescent="0.25">
      <c r="D80" s="4">
        <f>B4*(B16-B19)</f>
        <v>29.092138319796351</v>
      </c>
      <c r="E80" t="s">
        <v>27</v>
      </c>
    </row>
    <row r="82" spans="1:5" x14ac:dyDescent="0.25">
      <c r="D82" s="4">
        <f>B4*(B16-B19)</f>
        <v>29.092138319796351</v>
      </c>
      <c r="E82" t="s">
        <v>27</v>
      </c>
    </row>
    <row r="84" spans="1:5" x14ac:dyDescent="0.25">
      <c r="D84" s="4">
        <f>B3*(B16-B18)</f>
        <v>14.697066417613383</v>
      </c>
      <c r="E84" t="s">
        <v>27</v>
      </c>
    </row>
    <row r="86" spans="1:5" x14ac:dyDescent="0.25">
      <c r="A86" t="s">
        <v>29</v>
      </c>
    </row>
    <row r="88" spans="1:5" x14ac:dyDescent="0.25">
      <c r="D88" s="5">
        <f>B45*B10</f>
        <v>22.49203539823009</v>
      </c>
      <c r="E88" t="s">
        <v>27</v>
      </c>
    </row>
    <row r="89" spans="1:5" x14ac:dyDescent="0.25">
      <c r="D89" s="10"/>
    </row>
    <row r="90" spans="1:5" x14ac:dyDescent="0.25">
      <c r="D90" s="5">
        <f>B46*B10</f>
        <v>22.49203539823009</v>
      </c>
      <c r="E90" t="s">
        <v>27</v>
      </c>
    </row>
    <row r="91" spans="1:5" x14ac:dyDescent="0.25">
      <c r="D91" s="10"/>
    </row>
    <row r="92" spans="1:5" x14ac:dyDescent="0.25">
      <c r="D92" s="5">
        <f>B47*B10</f>
        <v>-14.057522123893806</v>
      </c>
      <c r="E92" t="s">
        <v>27</v>
      </c>
    </row>
    <row r="93" spans="1:5" x14ac:dyDescent="0.25">
      <c r="D93" s="10"/>
    </row>
    <row r="94" spans="1:5" x14ac:dyDescent="0.25">
      <c r="D94" s="5">
        <f>B48*B10</f>
        <v>-14.057522123893806</v>
      </c>
      <c r="E94" t="s">
        <v>27</v>
      </c>
    </row>
    <row r="96" spans="1:5" x14ac:dyDescent="0.25">
      <c r="A96" t="s">
        <v>30</v>
      </c>
    </row>
    <row r="98" spans="1:12" x14ac:dyDescent="0.25">
      <c r="D98" s="5">
        <f>D78-D88</f>
        <v>-7.7949689806167068</v>
      </c>
      <c r="E98" t="s">
        <v>27</v>
      </c>
    </row>
    <row r="99" spans="1:12" x14ac:dyDescent="0.25">
      <c r="D99" s="10"/>
    </row>
    <row r="100" spans="1:12" x14ac:dyDescent="0.25">
      <c r="D100" s="5">
        <f>D80-D90</f>
        <v>6.6001029215662612</v>
      </c>
      <c r="E100" t="s">
        <v>27</v>
      </c>
    </row>
    <row r="101" spans="1:12" x14ac:dyDescent="0.25">
      <c r="D101" s="10"/>
    </row>
    <row r="102" spans="1:12" x14ac:dyDescent="0.25">
      <c r="D102" s="5">
        <f>D82-D92</f>
        <v>43.149660443690159</v>
      </c>
      <c r="E102" t="s">
        <v>27</v>
      </c>
    </row>
    <row r="103" spans="1:12" x14ac:dyDescent="0.25">
      <c r="D103" s="10"/>
    </row>
    <row r="104" spans="1:12" x14ac:dyDescent="0.25">
      <c r="D104" s="5">
        <f>D84-D94</f>
        <v>28.754588541507189</v>
      </c>
      <c r="E104" t="s">
        <v>27</v>
      </c>
    </row>
    <row r="106" spans="1:12" x14ac:dyDescent="0.25">
      <c r="A106" t="s">
        <v>35</v>
      </c>
    </row>
    <row r="107" spans="1:12" x14ac:dyDescent="0.25">
      <c r="A107" t="s">
        <v>40</v>
      </c>
    </row>
    <row r="108" spans="1:12" x14ac:dyDescent="0.25">
      <c r="A108" t="s">
        <v>41</v>
      </c>
    </row>
    <row r="110" spans="1:12" x14ac:dyDescent="0.25">
      <c r="G110" s="16">
        <f>(I73*B12)/(3600*B24*((2*B12)^0.5)*(D104^0.5))</f>
        <v>6.9243804978068342</v>
      </c>
      <c r="H110" t="s">
        <v>42</v>
      </c>
      <c r="I110" s="19"/>
      <c r="J110" s="18"/>
      <c r="K110" s="17"/>
      <c r="L110" s="17"/>
    </row>
    <row r="111" spans="1:12" x14ac:dyDescent="0.25">
      <c r="I111" s="18"/>
      <c r="J111" s="17"/>
      <c r="K111" s="17"/>
      <c r="L111" s="17"/>
    </row>
    <row r="112" spans="1:12" x14ac:dyDescent="0.25">
      <c r="I112" s="18"/>
      <c r="J112" s="17"/>
      <c r="K112" s="17"/>
      <c r="L112" s="17"/>
    </row>
    <row r="113" spans="1:12" x14ac:dyDescent="0.25">
      <c r="I113" s="19"/>
      <c r="J113" s="18"/>
      <c r="K113" s="17"/>
      <c r="L113" s="17"/>
    </row>
    <row r="114" spans="1:12" x14ac:dyDescent="0.25">
      <c r="G114" s="15">
        <f>(I70*B15)/(3600*B25*((2*B12)^0.5)*(D102^0.5))</f>
        <v>2.427100618746183</v>
      </c>
      <c r="H114" t="s">
        <v>42</v>
      </c>
      <c r="I114" s="18"/>
      <c r="J114" s="17"/>
      <c r="K114" s="17"/>
      <c r="L114" s="17"/>
    </row>
    <row r="115" spans="1:12" x14ac:dyDescent="0.25">
      <c r="I115" s="18"/>
      <c r="J115" s="17"/>
      <c r="K115" s="17"/>
      <c r="L115" s="17"/>
    </row>
    <row r="117" spans="1:12" x14ac:dyDescent="0.25">
      <c r="A117" t="s">
        <v>44</v>
      </c>
    </row>
    <row r="118" spans="1:12" x14ac:dyDescent="0.25">
      <c r="A118" t="s">
        <v>45</v>
      </c>
    </row>
    <row r="120" spans="1:12" x14ac:dyDescent="0.25">
      <c r="C120" s="4">
        <f>G110/G114</f>
        <v>2.8529433202418706</v>
      </c>
    </row>
  </sheetData>
  <mergeCells count="1">
    <mergeCell ref="A1:L1"/>
  </mergeCells>
  <pageMargins left="0.7" right="0.7" top="0.75" bottom="0.75" header="0.3" footer="0.3"/>
  <pageSetup paperSize="9" scale="72" orientation="portrait" r:id="rId1"/>
  <rowBreaks count="1" manualBreakCount="1">
    <brk id="63" max="11" man="1"/>
  </rowBreaks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8"/>
  <sheetViews>
    <sheetView view="pageBreakPreview" zoomScaleNormal="70" zoomScaleSheetLayoutView="100" workbookViewId="0">
      <selection activeCell="H9" sqref="H9"/>
    </sheetView>
  </sheetViews>
  <sheetFormatPr defaultRowHeight="15" x14ac:dyDescent="0.25"/>
  <cols>
    <col min="1" max="1" width="11" customWidth="1"/>
    <col min="2" max="2" width="9.5703125" bestFit="1" customWidth="1"/>
  </cols>
  <sheetData>
    <row r="1" spans="1:21" ht="23.25" x14ac:dyDescent="0.3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1" x14ac:dyDescent="0.25">
      <c r="A2" s="7" t="s">
        <v>0</v>
      </c>
    </row>
    <row r="3" spans="1:21" x14ac:dyDescent="0.25">
      <c r="B3" s="2">
        <v>2.4</v>
      </c>
      <c r="C3" t="s">
        <v>25</v>
      </c>
    </row>
    <row r="4" spans="1:21" x14ac:dyDescent="0.25">
      <c r="B4" s="2">
        <v>8.4</v>
      </c>
      <c r="C4" t="s">
        <v>49</v>
      </c>
      <c r="U4" t="s">
        <v>43</v>
      </c>
    </row>
    <row r="5" spans="1:21" x14ac:dyDescent="0.25">
      <c r="B5" s="2">
        <v>6</v>
      </c>
      <c r="C5" t="s">
        <v>46</v>
      </c>
    </row>
    <row r="6" spans="1:21" x14ac:dyDescent="0.25">
      <c r="B6" s="2">
        <v>1040</v>
      </c>
      <c r="C6" t="s">
        <v>1</v>
      </c>
    </row>
    <row r="7" spans="1:21" x14ac:dyDescent="0.25">
      <c r="B7" s="2">
        <v>7</v>
      </c>
      <c r="C7" t="s">
        <v>14</v>
      </c>
    </row>
    <row r="8" spans="1:21" x14ac:dyDescent="0.25">
      <c r="B8" s="8">
        <v>33</v>
      </c>
      <c r="C8" t="s">
        <v>15</v>
      </c>
    </row>
    <row r="9" spans="1:21" x14ac:dyDescent="0.25">
      <c r="B9" s="8">
        <f>B8+3</f>
        <v>36</v>
      </c>
      <c r="C9" t="s">
        <v>16</v>
      </c>
    </row>
    <row r="10" spans="1:21" x14ac:dyDescent="0.25">
      <c r="B10" s="5">
        <f>(+B11*B11*B12)/2</f>
        <v>22.692857142857143</v>
      </c>
      <c r="C10" t="s">
        <v>7</v>
      </c>
    </row>
    <row r="11" spans="1:21" x14ac:dyDescent="0.25">
      <c r="B11" s="2">
        <v>6</v>
      </c>
      <c r="C11" t="s">
        <v>6</v>
      </c>
    </row>
    <row r="12" spans="1:21" x14ac:dyDescent="0.25">
      <c r="B12" s="5">
        <f>353/(273+B7)</f>
        <v>1.2607142857142857</v>
      </c>
      <c r="C12" t="s">
        <v>8</v>
      </c>
    </row>
    <row r="13" spans="1:21" x14ac:dyDescent="0.25">
      <c r="B13" s="4">
        <f>353/(273+((B8+B9)/2))</f>
        <v>1.1479674796747967</v>
      </c>
      <c r="C13" t="s">
        <v>17</v>
      </c>
    </row>
    <row r="14" spans="1:21" x14ac:dyDescent="0.25">
      <c r="B14" s="5">
        <f>353/(273+B8)</f>
        <v>1.15359477124183</v>
      </c>
      <c r="C14" t="s">
        <v>22</v>
      </c>
    </row>
    <row r="15" spans="1:21" x14ac:dyDescent="0.25">
      <c r="B15" s="4">
        <f>353/(273+B9)</f>
        <v>1.1423948220064726</v>
      </c>
      <c r="C15" t="s">
        <v>23</v>
      </c>
    </row>
    <row r="16" spans="1:21" x14ac:dyDescent="0.25">
      <c r="B16" s="4">
        <f>B12*9.81</f>
        <v>12.367607142857143</v>
      </c>
      <c r="C16" t="s">
        <v>9</v>
      </c>
    </row>
    <row r="17" spans="1:6" x14ac:dyDescent="0.25">
      <c r="B17" s="4">
        <f>B13*9.81</f>
        <v>11.261560975609756</v>
      </c>
      <c r="C17" t="s">
        <v>20</v>
      </c>
    </row>
    <row r="18" spans="1:6" x14ac:dyDescent="0.25">
      <c r="B18" s="4">
        <f>B14*9.81</f>
        <v>11.316764705882353</v>
      </c>
      <c r="C18" t="s">
        <v>21</v>
      </c>
    </row>
    <row r="19" spans="1:6" x14ac:dyDescent="0.25">
      <c r="B19" s="4">
        <f>B15*9.81</f>
        <v>11.206893203883496</v>
      </c>
      <c r="C19" t="s">
        <v>24</v>
      </c>
    </row>
    <row r="20" spans="1:6" x14ac:dyDescent="0.25">
      <c r="B20" s="9">
        <v>1.0049999999999999</v>
      </c>
      <c r="C20" t="s">
        <v>18</v>
      </c>
    </row>
    <row r="21" spans="1:6" x14ac:dyDescent="0.25">
      <c r="B21" s="14">
        <v>18753</v>
      </c>
      <c r="C21" t="s">
        <v>31</v>
      </c>
    </row>
    <row r="22" spans="1:6" x14ac:dyDescent="0.25">
      <c r="B22" s="13">
        <v>3.23</v>
      </c>
      <c r="C22" t="s">
        <v>39</v>
      </c>
    </row>
    <row r="23" spans="1:6" x14ac:dyDescent="0.25">
      <c r="B23" s="13">
        <v>3.23</v>
      </c>
      <c r="C23" t="s">
        <v>36</v>
      </c>
    </row>
    <row r="24" spans="1:6" x14ac:dyDescent="0.25">
      <c r="B24" s="4">
        <f>1/SQRT(B22)</f>
        <v>0.55641488407465722</v>
      </c>
      <c r="C24" t="s">
        <v>37</v>
      </c>
    </row>
    <row r="25" spans="1:6" x14ac:dyDescent="0.25">
      <c r="B25" s="4">
        <f>1/SQRT(B22)</f>
        <v>0.55641488407465722</v>
      </c>
      <c r="C25" t="s">
        <v>38</v>
      </c>
    </row>
    <row r="27" spans="1:6" x14ac:dyDescent="0.25">
      <c r="A27" s="7" t="s">
        <v>2</v>
      </c>
    </row>
    <row r="29" spans="1:6" x14ac:dyDescent="0.25">
      <c r="A29" t="s">
        <v>3</v>
      </c>
    </row>
    <row r="31" spans="1:6" x14ac:dyDescent="0.25">
      <c r="D31" s="3">
        <f>B10</f>
        <v>22.692857142857143</v>
      </c>
      <c r="E31" s="1" t="s">
        <v>10</v>
      </c>
      <c r="F31" s="6">
        <f>0.5*B5*(B16-B17)</f>
        <v>3.3181385017421601</v>
      </c>
    </row>
    <row r="33" spans="1:8" x14ac:dyDescent="0.25">
      <c r="A33" t="s">
        <v>4</v>
      </c>
    </row>
    <row r="35" spans="1:8" x14ac:dyDescent="0.25">
      <c r="D35" s="3">
        <f>0.5*B5*(B16-B17)</f>
        <v>3.3181385017421601</v>
      </c>
      <c r="E35" s="1" t="s">
        <v>10</v>
      </c>
      <c r="F35" s="4">
        <f>B10</f>
        <v>22.692857142857143</v>
      </c>
      <c r="G35" s="1" t="s">
        <v>10</v>
      </c>
      <c r="H35" s="6">
        <f>10*B5*(B16-B17)</f>
        <v>66.362770034843209</v>
      </c>
    </row>
    <row r="37" spans="1:8" x14ac:dyDescent="0.25">
      <c r="A37" t="s">
        <v>5</v>
      </c>
    </row>
    <row r="41" spans="1:8" x14ac:dyDescent="0.25">
      <c r="A41" s="21" t="s">
        <v>50</v>
      </c>
      <c r="G41" s="21" t="s">
        <v>51</v>
      </c>
    </row>
    <row r="44" spans="1:8" x14ac:dyDescent="0.25">
      <c r="A44" s="7" t="s">
        <v>13</v>
      </c>
    </row>
    <row r="46" spans="1:8" x14ac:dyDescent="0.25">
      <c r="A46" t="s">
        <v>47</v>
      </c>
    </row>
    <row r="47" spans="1:8" x14ac:dyDescent="0.25">
      <c r="A47" t="s">
        <v>33</v>
      </c>
    </row>
    <row r="48" spans="1:8" x14ac:dyDescent="0.25">
      <c r="A48" t="s">
        <v>34</v>
      </c>
    </row>
    <row r="50" spans="1:15" x14ac:dyDescent="0.25">
      <c r="D50" s="10"/>
      <c r="E50" s="12">
        <f>(3.6*(B6*1000))/(B20*(B9-B7))</f>
        <v>128461.14256304686</v>
      </c>
      <c r="F50" t="s">
        <v>19</v>
      </c>
      <c r="I50" s="11">
        <f>E50/B15</f>
        <v>112448.98881581155</v>
      </c>
      <c r="J50" t="s">
        <v>32</v>
      </c>
    </row>
    <row r="53" spans="1:15" x14ac:dyDescent="0.25">
      <c r="E53" s="11">
        <f>(3.6*(B6*1000))/(B20*(B9-B7))+B21*4</f>
        <v>203473.14256304686</v>
      </c>
      <c r="F53" t="s">
        <v>19</v>
      </c>
      <c r="I53" s="11">
        <f>E53/B12</f>
        <v>161395.12724547627</v>
      </c>
      <c r="J53" t="s">
        <v>32</v>
      </c>
    </row>
    <row r="56" spans="1:15" x14ac:dyDescent="0.25">
      <c r="A56" t="s">
        <v>56</v>
      </c>
      <c r="O56" t="s">
        <v>53</v>
      </c>
    </row>
    <row r="57" spans="1:15" x14ac:dyDescent="0.25">
      <c r="O57" t="s">
        <v>52</v>
      </c>
    </row>
    <row r="58" spans="1:15" x14ac:dyDescent="0.25">
      <c r="D58" s="4">
        <f>B5*(B16-B19)</f>
        <v>6.9642836338418803</v>
      </c>
      <c r="E58" t="s">
        <v>27</v>
      </c>
    </row>
    <row r="59" spans="1:15" x14ac:dyDescent="0.25">
      <c r="C59" s="10"/>
    </row>
    <row r="60" spans="1:15" x14ac:dyDescent="0.25">
      <c r="A60" t="s">
        <v>55</v>
      </c>
    </row>
    <row r="62" spans="1:15" x14ac:dyDescent="0.25">
      <c r="D62" s="5">
        <f>D58*0.25</f>
        <v>1.7410709084604701</v>
      </c>
      <c r="E62" t="s">
        <v>27</v>
      </c>
    </row>
    <row r="63" spans="1:15" x14ac:dyDescent="0.25">
      <c r="D63" s="10"/>
    </row>
    <row r="64" spans="1:15" x14ac:dyDescent="0.25">
      <c r="D64" s="5">
        <f>D58-D62</f>
        <v>5.2232127253814102</v>
      </c>
      <c r="E64" t="s">
        <v>27</v>
      </c>
    </row>
    <row r="65" spans="1:12" x14ac:dyDescent="0.25">
      <c r="D65" s="10"/>
    </row>
    <row r="66" spans="1:12" x14ac:dyDescent="0.25">
      <c r="D66" s="5">
        <f>0.25*D58</f>
        <v>1.7410709084604701</v>
      </c>
      <c r="E66" t="s">
        <v>27</v>
      </c>
    </row>
    <row r="67" spans="1:12" x14ac:dyDescent="0.25">
      <c r="D67" s="10"/>
    </row>
    <row r="68" spans="1:12" x14ac:dyDescent="0.25">
      <c r="D68" s="5">
        <f>D58-D66</f>
        <v>5.2232127253814102</v>
      </c>
      <c r="E68" t="s">
        <v>27</v>
      </c>
    </row>
    <row r="70" spans="1:12" x14ac:dyDescent="0.25">
      <c r="A70" t="s">
        <v>57</v>
      </c>
    </row>
    <row r="73" spans="1:12" x14ac:dyDescent="0.25">
      <c r="G73" s="16">
        <f>(I53*B12)/(3600*SQRT(2*D62*B12/B22))</f>
        <v>48.481303574853023</v>
      </c>
      <c r="H73" t="s">
        <v>42</v>
      </c>
      <c r="I73" s="19"/>
      <c r="J73" s="18"/>
      <c r="K73" s="17"/>
      <c r="L73" s="17"/>
    </row>
    <row r="74" spans="1:12" x14ac:dyDescent="0.25">
      <c r="I74" s="18"/>
      <c r="J74" s="17"/>
      <c r="K74" s="17"/>
      <c r="L74" s="17"/>
    </row>
    <row r="75" spans="1:12" x14ac:dyDescent="0.25">
      <c r="I75" s="18"/>
      <c r="J75" s="17"/>
      <c r="K75" s="17"/>
      <c r="L75" s="17"/>
    </row>
    <row r="76" spans="1:12" x14ac:dyDescent="0.25">
      <c r="I76" s="19"/>
      <c r="J76" s="18"/>
      <c r="K76" s="17"/>
      <c r="L76" s="17"/>
    </row>
    <row r="77" spans="1:12" x14ac:dyDescent="0.25">
      <c r="G77" s="15">
        <f>(I50*B15)/(3600*B25*((2*B15)^0.5)*(D64^0.5))</f>
        <v>18.564299791999055</v>
      </c>
      <c r="H77" t="s">
        <v>42</v>
      </c>
      <c r="I77" s="18"/>
      <c r="J77" s="17"/>
      <c r="K77" s="17"/>
      <c r="L77" s="17"/>
    </row>
    <row r="78" spans="1:12" x14ac:dyDescent="0.25">
      <c r="I78" s="18"/>
      <c r="J78" s="17"/>
      <c r="K78" s="17"/>
      <c r="L78" s="17"/>
    </row>
  </sheetData>
  <mergeCells count="1">
    <mergeCell ref="A1:L1"/>
  </mergeCells>
  <pageMargins left="0.7" right="0.7" top="0.75" bottom="0.75" header="0.3" footer="0.3"/>
  <pageSetup paperSize="9" scale="72" orientation="portrait" r:id="rId1"/>
  <rowBreaks count="1" manualBreakCount="1">
    <brk id="43" max="11" man="1"/>
  </rowBreaks>
  <colBreaks count="1" manualBreakCount="1">
    <brk id="12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0"/>
  <sheetViews>
    <sheetView view="pageBreakPreview" topLeftCell="A61" zoomScaleNormal="70" zoomScaleSheetLayoutView="100" workbookViewId="0">
      <selection activeCell="E74" sqref="E74"/>
    </sheetView>
  </sheetViews>
  <sheetFormatPr defaultRowHeight="15" x14ac:dyDescent="0.25"/>
  <cols>
    <col min="1" max="1" width="11" customWidth="1"/>
    <col min="2" max="2" width="9.5703125" bestFit="1" customWidth="1"/>
  </cols>
  <sheetData>
    <row r="1" spans="1:21" ht="23.25" x14ac:dyDescent="0.3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1" x14ac:dyDescent="0.25">
      <c r="A2" s="7" t="s">
        <v>0</v>
      </c>
    </row>
    <row r="3" spans="1:21" x14ac:dyDescent="0.25">
      <c r="B3" s="2">
        <v>2.4</v>
      </c>
      <c r="C3" t="s">
        <v>25</v>
      </c>
    </row>
    <row r="4" spans="1:21" x14ac:dyDescent="0.25">
      <c r="B4" s="2">
        <v>8.4</v>
      </c>
      <c r="C4" t="s">
        <v>49</v>
      </c>
      <c r="U4" t="s">
        <v>43</v>
      </c>
    </row>
    <row r="5" spans="1:21" x14ac:dyDescent="0.25">
      <c r="B5" s="2">
        <v>6</v>
      </c>
      <c r="C5" t="s">
        <v>46</v>
      </c>
    </row>
    <row r="6" spans="1:21" x14ac:dyDescent="0.25">
      <c r="B6" s="2">
        <v>1040</v>
      </c>
      <c r="C6" t="s">
        <v>1</v>
      </c>
    </row>
    <row r="7" spans="1:21" x14ac:dyDescent="0.25">
      <c r="B7" s="2">
        <v>7</v>
      </c>
      <c r="C7" t="s">
        <v>14</v>
      </c>
    </row>
    <row r="8" spans="1:21" x14ac:dyDescent="0.25">
      <c r="B8" s="8">
        <v>33</v>
      </c>
      <c r="C8" t="s">
        <v>15</v>
      </c>
    </row>
    <row r="9" spans="1:21" x14ac:dyDescent="0.25">
      <c r="B9" s="8">
        <v>36</v>
      </c>
      <c r="C9" t="s">
        <v>16</v>
      </c>
    </row>
    <row r="10" spans="1:21" x14ac:dyDescent="0.25">
      <c r="B10" s="5">
        <f>(+B11*B11*B12)/2</f>
        <v>22.692857142857143</v>
      </c>
      <c r="C10" t="s">
        <v>7</v>
      </c>
    </row>
    <row r="11" spans="1:21" x14ac:dyDescent="0.25">
      <c r="B11" s="2">
        <v>6</v>
      </c>
      <c r="C11" t="s">
        <v>6</v>
      </c>
    </row>
    <row r="12" spans="1:21" x14ac:dyDescent="0.25">
      <c r="B12" s="5">
        <f>353/(273+B7)</f>
        <v>1.2607142857142857</v>
      </c>
      <c r="C12" t="s">
        <v>8</v>
      </c>
    </row>
    <row r="13" spans="1:21" x14ac:dyDescent="0.25">
      <c r="B13" s="4">
        <f>353/(273+((B8+B9)/2))</f>
        <v>1.1479674796747967</v>
      </c>
      <c r="C13" t="s">
        <v>17</v>
      </c>
    </row>
    <row r="14" spans="1:21" x14ac:dyDescent="0.25">
      <c r="B14" s="5">
        <f>353/(273+B8)</f>
        <v>1.15359477124183</v>
      </c>
      <c r="C14" t="s">
        <v>22</v>
      </c>
    </row>
    <row r="15" spans="1:21" x14ac:dyDescent="0.25">
      <c r="B15" s="4">
        <f>353/(273+B9)</f>
        <v>1.1423948220064726</v>
      </c>
      <c r="C15" t="s">
        <v>23</v>
      </c>
    </row>
    <row r="16" spans="1:21" x14ac:dyDescent="0.25">
      <c r="B16" s="4">
        <f>B12*9.81</f>
        <v>12.367607142857143</v>
      </c>
      <c r="C16" t="s">
        <v>9</v>
      </c>
    </row>
    <row r="17" spans="1:6" x14ac:dyDescent="0.25">
      <c r="B17" s="4">
        <f>B13*9.81</f>
        <v>11.261560975609756</v>
      </c>
      <c r="C17" t="s">
        <v>20</v>
      </c>
    </row>
    <row r="18" spans="1:6" x14ac:dyDescent="0.25">
      <c r="B18" s="4">
        <f>B14*9.81</f>
        <v>11.316764705882353</v>
      </c>
      <c r="C18" t="s">
        <v>21</v>
      </c>
    </row>
    <row r="19" spans="1:6" x14ac:dyDescent="0.25">
      <c r="B19" s="4">
        <f>B15*9.81</f>
        <v>11.206893203883496</v>
      </c>
      <c r="C19" t="s">
        <v>24</v>
      </c>
    </row>
    <row r="20" spans="1:6" x14ac:dyDescent="0.25">
      <c r="B20" s="9">
        <v>1.0049999999999999</v>
      </c>
      <c r="C20" t="s">
        <v>18</v>
      </c>
    </row>
    <row r="21" spans="1:6" x14ac:dyDescent="0.25">
      <c r="B21" s="14">
        <v>18753</v>
      </c>
      <c r="C21" t="s">
        <v>31</v>
      </c>
    </row>
    <row r="22" spans="1:6" x14ac:dyDescent="0.25">
      <c r="B22" s="13">
        <v>3.23</v>
      </c>
      <c r="C22" t="s">
        <v>39</v>
      </c>
    </row>
    <row r="23" spans="1:6" x14ac:dyDescent="0.25">
      <c r="B23" s="13">
        <v>3.23</v>
      </c>
      <c r="C23" t="s">
        <v>36</v>
      </c>
    </row>
    <row r="24" spans="1:6" x14ac:dyDescent="0.25">
      <c r="B24" s="4">
        <f>1/SQRT(B22)</f>
        <v>0.55641488407465722</v>
      </c>
      <c r="C24" t="s">
        <v>37</v>
      </c>
    </row>
    <row r="25" spans="1:6" x14ac:dyDescent="0.25">
      <c r="B25" s="4">
        <f>1/SQRT(B22)</f>
        <v>0.55641488407465722</v>
      </c>
      <c r="C25" t="s">
        <v>38</v>
      </c>
    </row>
    <row r="27" spans="1:6" x14ac:dyDescent="0.25">
      <c r="A27" s="7" t="s">
        <v>2</v>
      </c>
    </row>
    <row r="29" spans="1:6" x14ac:dyDescent="0.25">
      <c r="A29" t="s">
        <v>3</v>
      </c>
    </row>
    <row r="31" spans="1:6" x14ac:dyDescent="0.25">
      <c r="D31" s="3">
        <f>B10</f>
        <v>22.692857142857143</v>
      </c>
      <c r="E31" s="1" t="s">
        <v>10</v>
      </c>
      <c r="F31" s="6">
        <f>0.5*B5*(B16-B17)</f>
        <v>3.3181385017421601</v>
      </c>
    </row>
    <row r="33" spans="1:8" x14ac:dyDescent="0.25">
      <c r="A33" t="s">
        <v>4</v>
      </c>
    </row>
    <row r="35" spans="1:8" x14ac:dyDescent="0.25">
      <c r="D35" s="3">
        <f>0.5*B5*(B16-B17)</f>
        <v>3.3181385017421601</v>
      </c>
      <c r="E35" s="1" t="s">
        <v>10</v>
      </c>
      <c r="F35" s="4">
        <f>B10</f>
        <v>22.692857142857143</v>
      </c>
      <c r="G35" s="1" t="s">
        <v>10</v>
      </c>
      <c r="H35" s="6">
        <f>10*B5*(B16-B17)</f>
        <v>66.362770034843209</v>
      </c>
    </row>
    <row r="37" spans="1:8" x14ac:dyDescent="0.25">
      <c r="A37" t="s">
        <v>5</v>
      </c>
    </row>
    <row r="41" spans="1:8" x14ac:dyDescent="0.25">
      <c r="A41" s="21" t="s">
        <v>50</v>
      </c>
      <c r="G41" s="21" t="s">
        <v>51</v>
      </c>
    </row>
    <row r="44" spans="1:8" x14ac:dyDescent="0.25">
      <c r="A44" s="7" t="s">
        <v>13</v>
      </c>
    </row>
    <row r="46" spans="1:8" x14ac:dyDescent="0.25">
      <c r="A46" t="s">
        <v>47</v>
      </c>
    </row>
    <row r="47" spans="1:8" x14ac:dyDescent="0.25">
      <c r="A47" t="s">
        <v>33</v>
      </c>
    </row>
    <row r="48" spans="1:8" x14ac:dyDescent="0.25">
      <c r="A48" t="s">
        <v>34</v>
      </c>
    </row>
    <row r="50" spans="1:10" x14ac:dyDescent="0.25">
      <c r="D50" s="10"/>
      <c r="E50" s="12">
        <f>(3.6*(B6*1000))/(B20*(B9-B7))</f>
        <v>128461.14256304686</v>
      </c>
      <c r="F50" t="s">
        <v>19</v>
      </c>
      <c r="I50" s="11">
        <f>E50/B15</f>
        <v>112448.98881581155</v>
      </c>
      <c r="J50" t="s">
        <v>32</v>
      </c>
    </row>
    <row r="53" spans="1:10" x14ac:dyDescent="0.25">
      <c r="E53" s="11">
        <f>(3.6*(B6*1000))/(B20*(B9-B7))+B21*4</f>
        <v>203473.14256304686</v>
      </c>
      <c r="F53" t="s">
        <v>19</v>
      </c>
      <c r="I53" s="11">
        <f>E53/B12</f>
        <v>161395.12724547627</v>
      </c>
      <c r="J53" t="s">
        <v>32</v>
      </c>
    </row>
    <row r="56" spans="1:10" x14ac:dyDescent="0.25">
      <c r="A56" t="s">
        <v>53</v>
      </c>
    </row>
    <row r="57" spans="1:10" x14ac:dyDescent="0.25">
      <c r="A57" t="s">
        <v>52</v>
      </c>
    </row>
    <row r="59" spans="1:10" x14ac:dyDescent="0.25">
      <c r="C59" s="10">
        <f>B5*(1/3)</f>
        <v>2</v>
      </c>
      <c r="D59" s="6" t="s">
        <v>54</v>
      </c>
    </row>
    <row r="60" spans="1:10" x14ac:dyDescent="0.25">
      <c r="C60" s="10"/>
      <c r="D60" s="6"/>
    </row>
    <row r="61" spans="1:10" x14ac:dyDescent="0.25">
      <c r="C61" s="10">
        <f>B5*(2/3)</f>
        <v>4</v>
      </c>
      <c r="D61" s="6" t="s">
        <v>54</v>
      </c>
    </row>
    <row r="62" spans="1:10" x14ac:dyDescent="0.25">
      <c r="C62" s="10"/>
    </row>
    <row r="63" spans="1:10" x14ac:dyDescent="0.25">
      <c r="A63" t="s">
        <v>55</v>
      </c>
    </row>
    <row r="65" spans="1:12" x14ac:dyDescent="0.25">
      <c r="D65" s="5">
        <f>0-C59*(B16-B17)</f>
        <v>-2.2120923344947734</v>
      </c>
      <c r="E65" t="s">
        <v>27</v>
      </c>
    </row>
    <row r="66" spans="1:12" x14ac:dyDescent="0.25">
      <c r="D66" s="10"/>
    </row>
    <row r="67" spans="1:12" x14ac:dyDescent="0.25">
      <c r="D67" s="5">
        <f>C61*(B16-B17)</f>
        <v>4.4241846689895468</v>
      </c>
      <c r="E67" t="s">
        <v>27</v>
      </c>
    </row>
    <row r="68" spans="1:12" x14ac:dyDescent="0.25">
      <c r="D68" s="10"/>
    </row>
    <row r="69" spans="1:12" x14ac:dyDescent="0.25">
      <c r="D69" s="5">
        <f>C61*(B16-B17)</f>
        <v>4.4241846689895468</v>
      </c>
      <c r="E69" t="s">
        <v>27</v>
      </c>
    </row>
    <row r="70" spans="1:12" x14ac:dyDescent="0.25">
      <c r="D70" s="10"/>
    </row>
    <row r="71" spans="1:12" x14ac:dyDescent="0.25">
      <c r="D71" s="5">
        <f>0-C59*(B16-B17)</f>
        <v>-2.2120923344947734</v>
      </c>
      <c r="E71" t="s">
        <v>27</v>
      </c>
    </row>
    <row r="73" spans="1:12" x14ac:dyDescent="0.25">
      <c r="A73" t="s">
        <v>60</v>
      </c>
    </row>
    <row r="74" spans="1:12" x14ac:dyDescent="0.25">
      <c r="A74" t="s">
        <v>58</v>
      </c>
    </row>
    <row r="75" spans="1:12" x14ac:dyDescent="0.25">
      <c r="A75" t="s">
        <v>59</v>
      </c>
    </row>
    <row r="76" spans="1:12" x14ac:dyDescent="0.25">
      <c r="G76" s="16"/>
      <c r="I76" s="19"/>
      <c r="J76" s="18"/>
      <c r="K76" s="17"/>
      <c r="L76" s="17"/>
    </row>
    <row r="77" spans="1:12" x14ac:dyDescent="0.25">
      <c r="I77" s="18"/>
      <c r="J77" s="17"/>
      <c r="K77" s="17"/>
      <c r="L77" s="17"/>
    </row>
    <row r="78" spans="1:12" x14ac:dyDescent="0.25">
      <c r="C78" s="4">
        <f>SQRT(2*(D65*(-1)/B12))</f>
        <v>1.8733041111050086</v>
      </c>
      <c r="D78" t="s">
        <v>61</v>
      </c>
      <c r="H78" s="4">
        <f>SQRT(2*D67/B15)</f>
        <v>2.7830660153853755</v>
      </c>
      <c r="I78" t="s">
        <v>61</v>
      </c>
      <c r="J78" s="17"/>
      <c r="K78" s="17"/>
      <c r="L78" s="17"/>
    </row>
    <row r="79" spans="1:12" x14ac:dyDescent="0.25">
      <c r="I79" s="19"/>
      <c r="J79" s="18"/>
      <c r="K79" s="17"/>
      <c r="L79" s="17"/>
    </row>
    <row r="80" spans="1:12" x14ac:dyDescent="0.25">
      <c r="G80" s="15"/>
      <c r="I80" s="18"/>
      <c r="J80" s="17"/>
      <c r="K80" s="17"/>
      <c r="L80" s="17"/>
    </row>
    <row r="81" spans="1:12" x14ac:dyDescent="0.25">
      <c r="I81" s="18"/>
      <c r="J81" s="17"/>
      <c r="K81" s="17"/>
      <c r="L81" s="17"/>
    </row>
    <row r="82" spans="1:12" x14ac:dyDescent="0.25">
      <c r="C82" s="5">
        <f>SQRT(2*D69/B15)</f>
        <v>2.7830660153853755</v>
      </c>
      <c r="D82" t="s">
        <v>61</v>
      </c>
      <c r="H82" s="5">
        <f>SQRT(2*(D65*(-1)/B12))</f>
        <v>1.8733041111050086</v>
      </c>
      <c r="I82" t="s">
        <v>61</v>
      </c>
    </row>
    <row r="85" spans="1:12" x14ac:dyDescent="0.25">
      <c r="A85" t="s">
        <v>62</v>
      </c>
    </row>
    <row r="87" spans="1:12" x14ac:dyDescent="0.25">
      <c r="E87" s="16">
        <f>I53*B13/(3600*B24*C78*B12)</f>
        <v>39.164609802175399</v>
      </c>
      <c r="F87" t="s">
        <v>42</v>
      </c>
    </row>
    <row r="90" spans="1:12" x14ac:dyDescent="0.25">
      <c r="E90" s="16">
        <f>I50*B13/(3600*B25*H78*B15)</f>
        <v>20.269552751460999</v>
      </c>
      <c r="F90" t="s">
        <v>42</v>
      </c>
    </row>
  </sheetData>
  <mergeCells count="1">
    <mergeCell ref="A1:L1"/>
  </mergeCells>
  <pageMargins left="0.7" right="0.7" top="0.75" bottom="0.75" header="0.3" footer="0.3"/>
  <pageSetup paperSize="9" scale="72" orientation="portrait" r:id="rId1"/>
  <rowBreaks count="1" manualBreakCount="1">
    <brk id="43" max="11" man="1"/>
  </rowBreaks>
  <colBreaks count="1" manualBreakCount="1">
    <brk id="12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view="pageBreakPreview" zoomScaleNormal="100" zoomScaleSheetLayoutView="100" workbookViewId="0">
      <selection activeCell="N12" sqref="N12"/>
    </sheetView>
  </sheetViews>
  <sheetFormatPr defaultRowHeight="15" x14ac:dyDescent="0.25"/>
  <sheetData>
    <row r="1" spans="1:9" ht="42" customHeight="1" x14ac:dyDescent="0.35">
      <c r="A1" s="26" t="s">
        <v>84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7" t="s">
        <v>0</v>
      </c>
    </row>
    <row r="3" spans="1:9" x14ac:dyDescent="0.25">
      <c r="B3" s="2"/>
    </row>
    <row r="4" spans="1:9" x14ac:dyDescent="0.25">
      <c r="B4" s="1">
        <v>1086</v>
      </c>
      <c r="C4" t="s">
        <v>69</v>
      </c>
    </row>
    <row r="5" spans="1:9" x14ac:dyDescent="0.25">
      <c r="B5" s="1">
        <v>320</v>
      </c>
      <c r="C5" t="s">
        <v>68</v>
      </c>
    </row>
    <row r="6" spans="1:9" x14ac:dyDescent="0.25">
      <c r="B6" s="1">
        <v>6.5</v>
      </c>
      <c r="C6" t="s">
        <v>54</v>
      </c>
    </row>
    <row r="7" spans="1:9" x14ac:dyDescent="0.25">
      <c r="B7" s="1">
        <f>((1040/4)*0.5)*1000</f>
        <v>130000</v>
      </c>
      <c r="C7" t="s">
        <v>74</v>
      </c>
    </row>
    <row r="8" spans="1:9" x14ac:dyDescent="0.25">
      <c r="C8" t="s">
        <v>77</v>
      </c>
    </row>
    <row r="10" spans="1:9" x14ac:dyDescent="0.25">
      <c r="B10" s="1">
        <f>33-7</f>
        <v>26</v>
      </c>
      <c r="C10" t="s">
        <v>83</v>
      </c>
    </row>
    <row r="11" spans="1:9" x14ac:dyDescent="0.25">
      <c r="B11" s="1"/>
    </row>
    <row r="12" spans="1:9" x14ac:dyDescent="0.25">
      <c r="B12" s="1"/>
    </row>
    <row r="13" spans="1:9" x14ac:dyDescent="0.25">
      <c r="B13" s="1"/>
    </row>
    <row r="14" spans="1:9" x14ac:dyDescent="0.25">
      <c r="B14" s="1"/>
    </row>
    <row r="15" spans="1:9" x14ac:dyDescent="0.25">
      <c r="B15" s="1"/>
    </row>
    <row r="16" spans="1:9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1:5" x14ac:dyDescent="0.25">
      <c r="B33" s="1"/>
    </row>
    <row r="35" spans="1:5" x14ac:dyDescent="0.25">
      <c r="A35" t="s">
        <v>67</v>
      </c>
    </row>
    <row r="38" spans="1:5" x14ac:dyDescent="0.25">
      <c r="D38" s="15">
        <f>1.6*(B4/B5)^(1/3)</f>
        <v>2.4044362393006988</v>
      </c>
    </row>
    <row r="41" spans="1:5" x14ac:dyDescent="0.25">
      <c r="A41" t="s">
        <v>70</v>
      </c>
    </row>
    <row r="42" spans="1:5" x14ac:dyDescent="0.25">
      <c r="A42" t="s">
        <v>71</v>
      </c>
    </row>
    <row r="44" spans="1:5" x14ac:dyDescent="0.25">
      <c r="E44" s="4">
        <f>D38*C47+B6</f>
        <v>25.995428967302963</v>
      </c>
    </row>
    <row r="47" spans="1:5" x14ac:dyDescent="0.25">
      <c r="C47" s="4">
        <f>2*E47*E48/(E47+E48)</f>
        <v>8.1081081081081088</v>
      </c>
      <c r="D47" s="1" t="s">
        <v>72</v>
      </c>
      <c r="E47" s="1">
        <v>12.5</v>
      </c>
    </row>
    <row r="48" spans="1:5" x14ac:dyDescent="0.25">
      <c r="D48" s="1" t="s">
        <v>73</v>
      </c>
      <c r="E48" s="1">
        <v>6</v>
      </c>
    </row>
    <row r="49" spans="1:5" x14ac:dyDescent="0.25">
      <c r="A49" t="s">
        <v>75</v>
      </c>
    </row>
    <row r="53" spans="1:5" x14ac:dyDescent="0.25">
      <c r="A53" t="s">
        <v>76</v>
      </c>
    </row>
    <row r="56" spans="1:5" x14ac:dyDescent="0.25">
      <c r="D56" s="24">
        <f>0.7*((B7*B7)/(E44^6))^(1/3)</f>
        <v>2.6582733135924648</v>
      </c>
      <c r="E56" t="s">
        <v>78</v>
      </c>
    </row>
    <row r="58" spans="1:5" x14ac:dyDescent="0.25">
      <c r="A58" t="s">
        <v>79</v>
      </c>
    </row>
    <row r="60" spans="1:5" x14ac:dyDescent="0.25">
      <c r="D60" s="1">
        <f>3.6*B7/D56</f>
        <v>176054.13168276957</v>
      </c>
      <c r="E60" t="s">
        <v>19</v>
      </c>
    </row>
    <row r="62" spans="1:5" x14ac:dyDescent="0.25">
      <c r="A62" t="s">
        <v>80</v>
      </c>
    </row>
    <row r="64" spans="1:5" x14ac:dyDescent="0.25">
      <c r="A64" s="23" t="s">
        <v>81</v>
      </c>
      <c r="B64" s="1">
        <f>D60*4</f>
        <v>704216.52673107828</v>
      </c>
      <c r="C64" t="s">
        <v>19</v>
      </c>
    </row>
    <row r="66" spans="1:5" x14ac:dyDescent="0.25">
      <c r="A66" t="s">
        <v>82</v>
      </c>
    </row>
    <row r="68" spans="1:5" x14ac:dyDescent="0.25">
      <c r="D68" s="13">
        <f>B10+D56</f>
        <v>28.658273313592463</v>
      </c>
      <c r="E68" t="s">
        <v>78</v>
      </c>
    </row>
  </sheetData>
  <mergeCells count="1">
    <mergeCell ref="A1:I1"/>
  </mergeCells>
  <pageMargins left="0.7" right="0.7" top="0.75" bottom="0.75" header="0.3" footer="0.3"/>
  <pageSetup paperSize="9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Расчёт аэрации (Зенит. фонарь)</vt:lpstr>
      <vt:lpstr>Расчёт аэрации (Без зенит. фон)</vt:lpstr>
      <vt:lpstr>Расчёт аэрации (Зима)</vt:lpstr>
      <vt:lpstr>Расчёт аэрации (штиль 1)</vt:lpstr>
      <vt:lpstr>Расчёт аэрации (штиль 2)</vt:lpstr>
      <vt:lpstr>Расчёт по АЗ-901</vt:lpstr>
      <vt:lpstr>'Расчёт аэрации (Без зенит. фон)'!Print_Area</vt:lpstr>
      <vt:lpstr>'Расчёт аэрации (Зенит. фонарь)'!Print_Area</vt:lpstr>
      <vt:lpstr>'Расчёт аэрации (Зима)'!Print_Area</vt:lpstr>
      <vt:lpstr>'Расчёт аэрации (штиль 1)'!Print_Area</vt:lpstr>
      <vt:lpstr>'Расчёт аэрации (штиль 2)'!Print_Area</vt:lpstr>
      <vt:lpstr>'Расчёт аэрации (Без зенит. фон)'!Область_печати</vt:lpstr>
      <vt:lpstr>'Расчёт аэрации (Зенит. фонарь)'!Область_печати</vt:lpstr>
      <vt:lpstr>'Расчёт аэрации (Зима)'!Область_печати</vt:lpstr>
      <vt:lpstr>'Расчёт аэрации (штиль 1)'!Область_печати</vt:lpstr>
      <vt:lpstr>'Расчёт аэрации (штиль 2)'!Область_печати</vt:lpstr>
      <vt:lpstr>'Расчёт по АЗ-901'!Область_печати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2022-12-29T13:37:36Z</dcterms:modified>
</cp:coreProperties>
</file>